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240" windowWidth="14940" windowHeight="8385" activeTab="1"/>
  </bookViews>
  <sheets>
    <sheet name="Detalhado" sheetId="1" r:id="rId1"/>
    <sheet name="Simples" sheetId="2" r:id="rId2"/>
  </sheets>
  <definedNames/>
  <calcPr fullCalcOnLoad="1"/>
</workbook>
</file>

<file path=xl/sharedStrings.xml><?xml version="1.0" encoding="utf-8"?>
<sst xmlns="http://schemas.openxmlformats.org/spreadsheetml/2006/main" count="136" uniqueCount="82">
  <si>
    <t>Classificação por Equipas</t>
  </si>
  <si>
    <t>Total</t>
  </si>
  <si>
    <t>(94) CPOC</t>
  </si>
  <si>
    <t>(52) GD4C</t>
  </si>
  <si>
    <t>(70) COC</t>
  </si>
  <si>
    <t>(7) OriEstarreja</t>
  </si>
  <si>
    <t>(107) CAOS</t>
  </si>
  <si>
    <t>(102) .COM</t>
  </si>
  <si>
    <t>(92) Lebres do Sado</t>
  </si>
  <si>
    <t>(2) AAMafra</t>
  </si>
  <si>
    <t>(90) ADFA</t>
  </si>
  <si>
    <t>(88) ADC</t>
  </si>
  <si>
    <t>(80) TST</t>
  </si>
  <si>
    <t>(22) CLAC</t>
  </si>
  <si>
    <t>(15) DA Recardães</t>
  </si>
  <si>
    <t>(37) GD Luz Verde</t>
  </si>
  <si>
    <t>(39) CP Telecom</t>
  </si>
  <si>
    <t>(115) ATV</t>
  </si>
  <si>
    <t>(5) CP Armada</t>
  </si>
  <si>
    <t>(104) 20 kms Almeirim</t>
  </si>
  <si>
    <t>(3) CIMO</t>
  </si>
  <si>
    <t>(62) CA Madeira</t>
  </si>
  <si>
    <t>(33) Clube TAP</t>
  </si>
  <si>
    <t>(81) ACARF</t>
  </si>
  <si>
    <t>(114) COA</t>
  </si>
  <si>
    <t>(93) CDAM Sul</t>
  </si>
  <si>
    <t>(35) CN Alvito</t>
  </si>
  <si>
    <t>(8) CP EPAL</t>
  </si>
  <si>
    <t>(73) CMO Funchal</t>
  </si>
  <si>
    <t>(116) SSMGeral</t>
  </si>
  <si>
    <t>(69) CP-EDP</t>
  </si>
  <si>
    <t>(113) APCA</t>
  </si>
  <si>
    <t>(124) CCDS José</t>
  </si>
  <si>
    <t>(103) ADADesnível</t>
  </si>
  <si>
    <t>(128) COALA</t>
  </si>
  <si>
    <t>(95) ALA</t>
  </si>
  <si>
    <t>Jovens</t>
  </si>
  <si>
    <t>Seniores</t>
  </si>
  <si>
    <t>Veteranos</t>
  </si>
  <si>
    <t>Sabrosa1</t>
  </si>
  <si>
    <t>Sabrosa2</t>
  </si>
  <si>
    <t>TBouro1</t>
  </si>
  <si>
    <t>TBouro2</t>
  </si>
  <si>
    <t>(106) Às 11 no Farol</t>
  </si>
  <si>
    <t>(119) OriMarão</t>
  </si>
  <si>
    <t>Sevilha1</t>
  </si>
  <si>
    <t>Sevilha2</t>
  </si>
  <si>
    <t>Coimbrão1</t>
  </si>
  <si>
    <t>Coimbrão2</t>
  </si>
  <si>
    <t>Clube</t>
  </si>
  <si>
    <t>VendasNovas</t>
  </si>
  <si>
    <t>Sevilha</t>
  </si>
  <si>
    <t>Terras de Bouro</t>
  </si>
  <si>
    <t>Sabrosa</t>
  </si>
  <si>
    <t>Coimbrão</t>
  </si>
  <si>
    <t>Vendas Novas</t>
  </si>
  <si>
    <t>(122) CCA Amora</t>
  </si>
  <si>
    <t>(41) C. Portela</t>
  </si>
  <si>
    <t>(97) Millenium BCP</t>
  </si>
  <si>
    <t>(127) GCFigueirense</t>
  </si>
  <si>
    <t>(82) CDCE</t>
  </si>
  <si>
    <t>(54) N.A.D.A.</t>
  </si>
  <si>
    <t>(133) GDU Azóia</t>
  </si>
  <si>
    <t>COViseu</t>
  </si>
  <si>
    <t>(136) SRSP Gafanhoeira</t>
  </si>
  <si>
    <t>(75) JD Fontaínhas</t>
  </si>
  <si>
    <t>POM1</t>
  </si>
  <si>
    <t>POM2</t>
  </si>
  <si>
    <t>POM3</t>
  </si>
  <si>
    <t>POM4</t>
  </si>
  <si>
    <t>Nisa1</t>
  </si>
  <si>
    <t>Nisa2</t>
  </si>
  <si>
    <t>Nisa</t>
  </si>
  <si>
    <t>S. Pedro do Sul</t>
  </si>
  <si>
    <t>Mora1</t>
  </si>
  <si>
    <t>Mora2</t>
  </si>
  <si>
    <t>Mora</t>
  </si>
  <si>
    <t>Canha</t>
  </si>
  <si>
    <t>Canha1</t>
  </si>
  <si>
    <t>Canha2</t>
  </si>
  <si>
    <t>(129) GDCT Brisa</t>
  </si>
  <si>
    <t>TAÇA DE PORTUGAL DE ORIENTAÇÃO PEDESTRE 2006/2007 - CLASSIFICAÇÃO POR CLUBES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</si>
</sst>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:ss;@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" fontId="6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0" fontId="2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3" fillId="0" borderId="7" xfId="0" applyNumberFormat="1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1" fontId="6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B57"/>
  <sheetViews>
    <sheetView showGridLines="0" zoomScale="80" zoomScaleNormal="80" workbookViewId="0" topLeftCell="A1">
      <pane xSplit="4" topLeftCell="BK1" activePane="topRight" state="frozen"/>
      <selection pane="topLeft" activeCell="A1" sqref="A1"/>
      <selection pane="topRight" activeCell="E4" sqref="E4"/>
    </sheetView>
  </sheetViews>
  <sheetFormatPr defaultColWidth="9.140625" defaultRowHeight="12.75"/>
  <cols>
    <col min="1" max="1" width="2.140625" style="0" customWidth="1"/>
    <col min="3" max="3" width="22.00390625" style="0" customWidth="1"/>
    <col min="4" max="4" width="7.8515625" style="1" customWidth="1"/>
    <col min="5" max="5" width="6.7109375" style="1" customWidth="1"/>
    <col min="6" max="8" width="5.7109375" style="1" customWidth="1"/>
    <col min="9" max="9" width="6.7109375" style="1" customWidth="1"/>
    <col min="10" max="12" width="5.7109375" style="1" customWidth="1"/>
    <col min="13" max="13" width="6.7109375" style="2" customWidth="1"/>
    <col min="14" max="16" width="5.7109375" style="1" customWidth="1"/>
    <col min="17" max="17" width="6.7109375" style="2" customWidth="1"/>
    <col min="18" max="20" width="5.7109375" style="1" customWidth="1"/>
    <col min="21" max="21" width="6.7109375" style="2" customWidth="1"/>
    <col min="22" max="24" width="5.7109375" style="1" customWidth="1"/>
    <col min="25" max="25" width="6.7109375" style="2" customWidth="1"/>
    <col min="26" max="28" width="5.7109375" style="1" customWidth="1"/>
  </cols>
  <sheetData>
    <row r="1" ht="12.75">
      <c r="B1" s="33" t="s">
        <v>0</v>
      </c>
    </row>
    <row r="2" ht="12.75">
      <c r="BL2" s="27"/>
    </row>
    <row r="3" spans="2:80" s="3" customFormat="1" ht="11.25">
      <c r="B3" s="8"/>
      <c r="C3" s="9"/>
      <c r="D3" s="10" t="s">
        <v>1</v>
      </c>
      <c r="E3" s="11" t="s">
        <v>45</v>
      </c>
      <c r="F3" s="10" t="s">
        <v>36</v>
      </c>
      <c r="G3" s="10" t="s">
        <v>37</v>
      </c>
      <c r="H3" s="10" t="s">
        <v>38</v>
      </c>
      <c r="I3" s="11" t="s">
        <v>46</v>
      </c>
      <c r="J3" s="10" t="s">
        <v>36</v>
      </c>
      <c r="K3" s="10" t="s">
        <v>37</v>
      </c>
      <c r="L3" s="10" t="s">
        <v>38</v>
      </c>
      <c r="M3" s="11" t="s">
        <v>41</v>
      </c>
      <c r="N3" s="10" t="s">
        <v>36</v>
      </c>
      <c r="O3" s="10" t="s">
        <v>37</v>
      </c>
      <c r="P3" s="10" t="s">
        <v>38</v>
      </c>
      <c r="Q3" s="11" t="s">
        <v>42</v>
      </c>
      <c r="R3" s="10" t="s">
        <v>36</v>
      </c>
      <c r="S3" s="10" t="s">
        <v>37</v>
      </c>
      <c r="T3" s="10" t="s">
        <v>38</v>
      </c>
      <c r="U3" s="11" t="s">
        <v>39</v>
      </c>
      <c r="V3" s="10" t="s">
        <v>36</v>
      </c>
      <c r="W3" s="10" t="s">
        <v>37</v>
      </c>
      <c r="X3" s="10" t="s">
        <v>38</v>
      </c>
      <c r="Y3" s="11" t="s">
        <v>40</v>
      </c>
      <c r="Z3" s="10" t="s">
        <v>36</v>
      </c>
      <c r="AA3" s="10" t="s">
        <v>37</v>
      </c>
      <c r="AB3" s="10" t="s">
        <v>38</v>
      </c>
      <c r="AC3" s="12" t="s">
        <v>47</v>
      </c>
      <c r="AD3" s="13" t="s">
        <v>36</v>
      </c>
      <c r="AE3" s="13" t="s">
        <v>37</v>
      </c>
      <c r="AF3" s="13" t="s">
        <v>38</v>
      </c>
      <c r="AG3" s="12" t="s">
        <v>48</v>
      </c>
      <c r="AH3" s="13" t="s">
        <v>36</v>
      </c>
      <c r="AI3" s="13" t="s">
        <v>37</v>
      </c>
      <c r="AJ3" s="13" t="s">
        <v>38</v>
      </c>
      <c r="AK3" s="12" t="s">
        <v>50</v>
      </c>
      <c r="AL3" s="13" t="s">
        <v>36</v>
      </c>
      <c r="AM3" s="13" t="s">
        <v>37</v>
      </c>
      <c r="AN3" s="13" t="s">
        <v>38</v>
      </c>
      <c r="AO3" s="34" t="s">
        <v>66</v>
      </c>
      <c r="AP3" s="13" t="s">
        <v>36</v>
      </c>
      <c r="AQ3" s="13" t="s">
        <v>37</v>
      </c>
      <c r="AR3" s="13" t="s">
        <v>38</v>
      </c>
      <c r="AS3" s="34" t="s">
        <v>67</v>
      </c>
      <c r="AT3" s="13" t="s">
        <v>36</v>
      </c>
      <c r="AU3" s="13" t="s">
        <v>37</v>
      </c>
      <c r="AV3" s="13" t="s">
        <v>38</v>
      </c>
      <c r="AW3" s="34" t="s">
        <v>68</v>
      </c>
      <c r="AX3" s="13" t="s">
        <v>36</v>
      </c>
      <c r="AY3" s="13" t="s">
        <v>37</v>
      </c>
      <c r="AZ3" s="13" t="s">
        <v>38</v>
      </c>
      <c r="BA3" s="34" t="s">
        <v>69</v>
      </c>
      <c r="BB3" s="13" t="s">
        <v>36</v>
      </c>
      <c r="BC3" s="13" t="s">
        <v>37</v>
      </c>
      <c r="BD3" s="13" t="s">
        <v>38</v>
      </c>
      <c r="BE3" s="34" t="s">
        <v>70</v>
      </c>
      <c r="BF3" s="13" t="s">
        <v>36</v>
      </c>
      <c r="BG3" s="13" t="s">
        <v>37</v>
      </c>
      <c r="BH3" s="13" t="s">
        <v>38</v>
      </c>
      <c r="BI3" s="34" t="s">
        <v>71</v>
      </c>
      <c r="BJ3" s="13" t="s">
        <v>36</v>
      </c>
      <c r="BK3" s="13" t="s">
        <v>37</v>
      </c>
      <c r="BL3" s="13" t="s">
        <v>38</v>
      </c>
      <c r="BM3" s="34" t="s">
        <v>74</v>
      </c>
      <c r="BN3" s="13" t="s">
        <v>36</v>
      </c>
      <c r="BO3" s="13" t="s">
        <v>37</v>
      </c>
      <c r="BP3" s="13" t="s">
        <v>38</v>
      </c>
      <c r="BQ3" s="34" t="s">
        <v>75</v>
      </c>
      <c r="BR3" s="13" t="s">
        <v>36</v>
      </c>
      <c r="BS3" s="13" t="s">
        <v>37</v>
      </c>
      <c r="BT3" s="14" t="s">
        <v>38</v>
      </c>
      <c r="BU3" s="34" t="s">
        <v>78</v>
      </c>
      <c r="BV3" s="13" t="s">
        <v>36</v>
      </c>
      <c r="BW3" s="13" t="s">
        <v>37</v>
      </c>
      <c r="BX3" s="13" t="s">
        <v>38</v>
      </c>
      <c r="BY3" s="34" t="s">
        <v>79</v>
      </c>
      <c r="BZ3" s="13" t="s">
        <v>36</v>
      </c>
      <c r="CA3" s="13" t="s">
        <v>37</v>
      </c>
      <c r="CB3" s="14" t="s">
        <v>38</v>
      </c>
    </row>
    <row r="4" spans="2:80" ht="12.75">
      <c r="B4" s="15">
        <v>1</v>
      </c>
      <c r="C4" s="16" t="s">
        <v>2</v>
      </c>
      <c r="D4" s="17">
        <f aca="true" t="shared" si="0" ref="D4:D9">+E4+I4+M4+Q4+U4+Y4+AC4+AG4+AK4+AO4+AS4+AW4+BA4+BE4+BI4+BM4+BQ4+BU4+BY4</f>
        <v>40278.99411764705</v>
      </c>
      <c r="E4" s="18">
        <f>+F4+G4+H4</f>
        <v>1964.1</v>
      </c>
      <c r="F4" s="19">
        <f>77.2+88.6+100+99.4+80.9+65.2</f>
        <v>511.3</v>
      </c>
      <c r="G4" s="19">
        <f>95.6+150+128.5+113.3+67.6+59.5+150+109.4+73.9</f>
        <v>947.8</v>
      </c>
      <c r="H4" s="19">
        <f>84.1+77.7+69.9+66+74.8+70.3+62.2</f>
        <v>505.00000000000006</v>
      </c>
      <c r="I4" s="18">
        <f>+J4+K4+L4</f>
        <v>2025.4999999999998</v>
      </c>
      <c r="J4" s="19">
        <f>63.9+96.5+100+99.3+72.6+66.8</f>
        <v>499.09999999999997</v>
      </c>
      <c r="K4" s="19">
        <f>94.4+137.3+123.8+122.7+109.9+75.3+150+129.1+94.6</f>
        <v>1037.1</v>
      </c>
      <c r="L4" s="19">
        <f>87.3+67.6+59.2+52.4+63.3+87.8+71.7</f>
        <v>489.29999999999995</v>
      </c>
      <c r="M4" s="18">
        <f>+N4+O4+P4</f>
        <v>2278.4</v>
      </c>
      <c r="N4" s="19">
        <v>654.5</v>
      </c>
      <c r="O4" s="19">
        <v>1049.9</v>
      </c>
      <c r="P4" s="19">
        <v>574</v>
      </c>
      <c r="Q4" s="18">
        <f aca="true" t="shared" si="1" ref="Q4:Q9">+R4+S4+T4</f>
        <v>2261.6</v>
      </c>
      <c r="R4" s="19">
        <v>693.2</v>
      </c>
      <c r="S4" s="19">
        <v>1012.4</v>
      </c>
      <c r="T4" s="19">
        <v>556</v>
      </c>
      <c r="U4" s="18">
        <f>+V4+W4+X4</f>
        <v>2010</v>
      </c>
      <c r="V4" s="19">
        <v>631.3</v>
      </c>
      <c r="W4" s="19">
        <v>812.2</v>
      </c>
      <c r="X4" s="19">
        <v>566.5</v>
      </c>
      <c r="Y4" s="18">
        <f>+Z4+AA4+AB4</f>
        <v>1928.9</v>
      </c>
      <c r="Z4" s="19">
        <v>557.1</v>
      </c>
      <c r="AA4" s="19">
        <v>850.4</v>
      </c>
      <c r="AB4" s="19">
        <v>521.4</v>
      </c>
      <c r="AC4" s="18">
        <f aca="true" t="shared" si="2" ref="AC4:AC42">+AD4+AE4+AF4</f>
        <v>2215</v>
      </c>
      <c r="AD4" s="19">
        <v>658.9</v>
      </c>
      <c r="AE4" s="19">
        <v>1023.7</v>
      </c>
      <c r="AF4" s="19">
        <v>532.4</v>
      </c>
      <c r="AG4" s="18">
        <f aca="true" t="shared" si="3" ref="AG4:AG42">+AH4+AI4+AJ4</f>
        <v>2394.1</v>
      </c>
      <c r="AH4" s="19">
        <v>695.5</v>
      </c>
      <c r="AI4" s="19">
        <v>1133</v>
      </c>
      <c r="AJ4" s="19">
        <v>565.6</v>
      </c>
      <c r="AK4" s="18">
        <f aca="true" t="shared" si="4" ref="AK4:AK42">+AL4+AM4+AN4</f>
        <v>2329.6</v>
      </c>
      <c r="AL4" s="19">
        <v>730.8</v>
      </c>
      <c r="AM4" s="19">
        <v>1065.9</v>
      </c>
      <c r="AN4" s="19">
        <v>532.9</v>
      </c>
      <c r="AO4" s="18">
        <f>+AP4+AQ4+AR4</f>
        <v>2088.8</v>
      </c>
      <c r="AP4" s="19">
        <v>636.6</v>
      </c>
      <c r="AQ4" s="19">
        <v>931.2</v>
      </c>
      <c r="AR4" s="19">
        <v>521</v>
      </c>
      <c r="AS4" s="18">
        <f aca="true" t="shared" si="5" ref="AS4:AS45">+AT4+AU4+AV4</f>
        <v>2164.9</v>
      </c>
      <c r="AT4" s="19">
        <v>671.4</v>
      </c>
      <c r="AU4" s="19">
        <v>1015.2</v>
      </c>
      <c r="AV4" s="19">
        <v>478.3</v>
      </c>
      <c r="AW4" s="18">
        <f aca="true" t="shared" si="6" ref="AW4:AW47">+AX4+AY4+AZ4</f>
        <v>1983.8000000000002</v>
      </c>
      <c r="AX4" s="19">
        <v>620.5</v>
      </c>
      <c r="AY4" s="19">
        <v>934.4</v>
      </c>
      <c r="AZ4" s="19">
        <v>428.9</v>
      </c>
      <c r="BA4" s="18">
        <f aca="true" t="shared" si="7" ref="BA4:BA44">+BB4+BC4+BD4</f>
        <v>2049.1</v>
      </c>
      <c r="BB4" s="19">
        <v>672.3</v>
      </c>
      <c r="BC4" s="19">
        <v>854.4</v>
      </c>
      <c r="BD4" s="19">
        <v>522.4</v>
      </c>
      <c r="BE4" s="18">
        <f>+BF4+BG4+BH4</f>
        <v>2285.4</v>
      </c>
      <c r="BF4" s="19">
        <v>741.3</v>
      </c>
      <c r="BG4" s="19">
        <v>1033</v>
      </c>
      <c r="BH4" s="19">
        <v>511.1</v>
      </c>
      <c r="BI4" s="18">
        <f>+BJ4+BK4+BL4</f>
        <v>2333.4</v>
      </c>
      <c r="BJ4" s="19">
        <v>716.1</v>
      </c>
      <c r="BK4" s="19">
        <v>1084.9</v>
      </c>
      <c r="BL4" s="19">
        <v>532.4</v>
      </c>
      <c r="BM4" s="23">
        <f>+BN4+BO4+BP4</f>
        <v>2119.947058823529</v>
      </c>
      <c r="BN4" s="21">
        <f>+(F4+J4+N4+R4+V4+Z4+AD4+AH4+AL4+AP4+AT4+AX4+BB4+BF4+BJ4+BV4+BZ4)/17</f>
        <v>636.035294117647</v>
      </c>
      <c r="BO4" s="21">
        <f>+(G4+K4+O4+S4+W4+AA4+AE4+AI4+AM4+AQ4+AU4+AY4+BC4+BG4+BK4+BW4+CA4)/17</f>
        <v>968.2823529411764</v>
      </c>
      <c r="BP4" s="21">
        <f>+(H4+L4+P4+T4+X4+AB4+AF4+AJ4+AN4+AR4+AV4+AZ4+BD4+BH4+BL4+BX4+CB4)/17</f>
        <v>515.6294117647058</v>
      </c>
      <c r="BQ4" s="23">
        <f>+BR4+BS4+BT4</f>
        <v>2119.947058823529</v>
      </c>
      <c r="BR4" s="21">
        <f>+(BJ4+BF4+BB4+AX4+AT4+AP4+AL4+AH4+AD4+Z4+V4+R4+N4+J4+F4+BV4+BZ4)/17</f>
        <v>636.035294117647</v>
      </c>
      <c r="BS4" s="21">
        <f>+(BK4+BG4+BC4+AY4+AU4+AQ4+AM4+AI4+AE4+AA4+W4+S4+O4+K4+G4+BW4+CA4)/17</f>
        <v>968.2823529411764</v>
      </c>
      <c r="BT4" s="21">
        <f>+(BL4+BH4+BD4+AZ4+AV4+AR4+AN4+AJ4+AF4+AB4+X4+T4+P4+L4+H4+BX4+CB4)/17</f>
        <v>515.6294117647058</v>
      </c>
      <c r="BU4" s="18">
        <f>+BV4+BW4+BX4</f>
        <v>2274.3</v>
      </c>
      <c r="BV4" s="35">
        <f>100+99+97.1+88.5+71.9+61.2+60.1+59.3+58.1</f>
        <v>695.2</v>
      </c>
      <c r="BW4" s="35">
        <f>150+145.6+135+127.2+114.4+97+89+87.3+82.5</f>
        <v>1028</v>
      </c>
      <c r="BX4" s="35">
        <f>92.7+89.9+85.1+77.8+77.4+65.4+62.8</f>
        <v>551.1</v>
      </c>
      <c r="BY4" s="18">
        <f>+BZ4+CA4+CB4</f>
        <v>1452.2</v>
      </c>
      <c r="BZ4" s="35">
        <f>96.8+86.4+76.9+66.6+64.2+36.6</f>
        <v>427.50000000000006</v>
      </c>
      <c r="CA4" s="35">
        <f>110+109.1+97+91.2+77.9+55.4+52.4+44.3+10</f>
        <v>647.3</v>
      </c>
      <c r="CB4" s="36">
        <f>85.6+54.2+51.3+47.9+46.6+46.1+45.7</f>
        <v>377.40000000000003</v>
      </c>
    </row>
    <row r="5" spans="2:80" ht="12.75">
      <c r="B5" s="15">
        <v>2</v>
      </c>
      <c r="C5" s="16" t="s">
        <v>4</v>
      </c>
      <c r="D5" s="17">
        <f t="shared" si="0"/>
        <v>39313.347058823536</v>
      </c>
      <c r="E5" s="18">
        <f>+F5+G5+H5</f>
        <v>1993.9</v>
      </c>
      <c r="F5" s="19">
        <f>66.5+88.3+66.4+58.3+100+98.5</f>
        <v>478</v>
      </c>
      <c r="G5" s="19">
        <f>80.8+74.6+130.3+115.2+107.5+106.7+104.1+72.7+97.9</f>
        <v>889.8000000000001</v>
      </c>
      <c r="H5" s="19">
        <f>75.3+64.6+100+100+100+86.2+100</f>
        <v>626.1</v>
      </c>
      <c r="I5" s="18">
        <f>+J5+K5+L5</f>
        <v>1997.8999999999999</v>
      </c>
      <c r="J5" s="19">
        <f>74+100+72.1+55+100+92.5</f>
        <v>493.6</v>
      </c>
      <c r="K5" s="19">
        <f>95.4+74.5+58.2+128.7+128.4+111.9+105+54.3+97.6</f>
        <v>854</v>
      </c>
      <c r="L5" s="19">
        <f>85.1+73.7+93.2+100+100+100+98.3</f>
        <v>650.3</v>
      </c>
      <c r="M5" s="18">
        <f>+N5+O5+P5</f>
        <v>2226.6</v>
      </c>
      <c r="N5" s="19">
        <v>488.1</v>
      </c>
      <c r="O5" s="19">
        <v>1077.1</v>
      </c>
      <c r="P5" s="19">
        <v>661.4</v>
      </c>
      <c r="Q5" s="18">
        <f t="shared" si="1"/>
        <v>2222.2000000000003</v>
      </c>
      <c r="R5" s="19">
        <v>526.6</v>
      </c>
      <c r="S5" s="19">
        <v>1025.7</v>
      </c>
      <c r="T5" s="19">
        <v>669.9</v>
      </c>
      <c r="U5" s="18">
        <f>+V5+W5+X5</f>
        <v>1953.5</v>
      </c>
      <c r="V5" s="19">
        <v>224.1</v>
      </c>
      <c r="W5" s="19">
        <v>1155</v>
      </c>
      <c r="X5" s="19">
        <v>574.4</v>
      </c>
      <c r="Y5" s="18">
        <f>+Z5+AA5+AB5</f>
        <v>2082.4</v>
      </c>
      <c r="Z5" s="19">
        <v>268.4</v>
      </c>
      <c r="AA5" s="19">
        <v>1208.4</v>
      </c>
      <c r="AB5" s="19">
        <v>605.6</v>
      </c>
      <c r="AC5" s="23">
        <f t="shared" si="2"/>
        <v>2069.1235294117646</v>
      </c>
      <c r="AD5" s="21">
        <f>+(F5+J5+N5+R5+V5+Z5+AL5+AP5+AT5+AX5+BB5+BF5+BJ5+BN5+BR5+BV5+BZ5)/17</f>
        <v>477.0941176470588</v>
      </c>
      <c r="AE5" s="21">
        <f>+(G5+K5+O5+S5+W5+AA5+AM5+AQ5+AU5+AY5+BC5+BG5+BK5+BO5+BS5+BW5+CA5)/17</f>
        <v>962.1470588235292</v>
      </c>
      <c r="AF5" s="21">
        <f>+(H5+L5+P5+T5+X5+AB5+AN5+AR5+AV5+AZ5+BD5+BH5+BL5+BP5+BT5+BX5+CB5)/17</f>
        <v>629.8823529411765</v>
      </c>
      <c r="AG5" s="23">
        <f t="shared" si="3"/>
        <v>2069.1235294117646</v>
      </c>
      <c r="AH5" s="21">
        <f>+(F5+J5+N5+R5+V5+Z5+AL5+AP5+AT5+AX5+BB5+BF5+BJ5+BN5+BR5+BV5+BZ5)/17</f>
        <v>477.0941176470588</v>
      </c>
      <c r="AI5" s="21">
        <f>+(G5+K5+O5+S5+W5+AA5+AM5+AQ5+AU5+AY5+BC5+BG5+BK5+BO5+BS5+BW5+CA5)/17</f>
        <v>962.1470588235292</v>
      </c>
      <c r="AJ5" s="21">
        <f>+(H5+L5+P5+T5+X5+AB5+AN5+AR5+AV5+AZ5+BD5+BH5+BL5+BP5+BT5+BX5+CB5)/17</f>
        <v>629.8823529411765</v>
      </c>
      <c r="AK5" s="18">
        <f t="shared" si="4"/>
        <v>2114.4</v>
      </c>
      <c r="AL5" s="19">
        <v>539.1</v>
      </c>
      <c r="AM5" s="19">
        <v>940.9</v>
      </c>
      <c r="AN5" s="19">
        <v>634.4</v>
      </c>
      <c r="AO5" s="18">
        <f>+AP5+AQ5+AR5</f>
        <v>2103.2</v>
      </c>
      <c r="AP5" s="19">
        <v>546.3</v>
      </c>
      <c r="AQ5" s="19">
        <v>908.7</v>
      </c>
      <c r="AR5" s="19">
        <v>648.2</v>
      </c>
      <c r="AS5" s="18">
        <f t="shared" si="5"/>
        <v>2101.7</v>
      </c>
      <c r="AT5" s="19">
        <v>512.9</v>
      </c>
      <c r="AU5" s="19">
        <v>951.4</v>
      </c>
      <c r="AV5" s="19">
        <v>637.4</v>
      </c>
      <c r="AW5" s="18">
        <f t="shared" si="6"/>
        <v>2118.6000000000004</v>
      </c>
      <c r="AX5" s="19">
        <v>541.6</v>
      </c>
      <c r="AY5" s="19">
        <v>922.8</v>
      </c>
      <c r="AZ5" s="19">
        <v>654.2</v>
      </c>
      <c r="BA5" s="18">
        <f t="shared" si="7"/>
        <v>2158.3</v>
      </c>
      <c r="BB5" s="19">
        <v>516.5</v>
      </c>
      <c r="BC5" s="19">
        <v>1037.5</v>
      </c>
      <c r="BD5" s="19">
        <v>604.3</v>
      </c>
      <c r="BE5" s="18">
        <f aca="true" t="shared" si="8" ref="BE5:BE10">+BF5+BG5+BH5</f>
        <v>2132.3</v>
      </c>
      <c r="BF5" s="19">
        <v>503.8</v>
      </c>
      <c r="BG5" s="19">
        <v>970.9</v>
      </c>
      <c r="BH5" s="19">
        <v>657.6</v>
      </c>
      <c r="BI5" s="18">
        <f aca="true" t="shared" si="9" ref="BI5:BI10">+BJ5+BK5+BL5</f>
        <v>2130.7</v>
      </c>
      <c r="BJ5" s="19">
        <v>453.2</v>
      </c>
      <c r="BK5" s="19">
        <v>1000.4</v>
      </c>
      <c r="BL5" s="19">
        <v>677.1</v>
      </c>
      <c r="BM5" s="18">
        <f aca="true" t="shared" si="10" ref="BM5:BM10">+BN5+BO5+BP5</f>
        <v>2057.7</v>
      </c>
      <c r="BN5" s="19">
        <v>570.9</v>
      </c>
      <c r="BO5" s="19">
        <v>871</v>
      </c>
      <c r="BP5" s="19">
        <v>615.8</v>
      </c>
      <c r="BQ5" s="18">
        <f aca="true" t="shared" si="11" ref="BQ5:BQ10">+BR5+BS5+BT5</f>
        <v>2242.2999999999997</v>
      </c>
      <c r="BR5" s="19">
        <v>644.9</v>
      </c>
      <c r="BS5" s="19">
        <v>978.3</v>
      </c>
      <c r="BT5" s="20">
        <v>619.1</v>
      </c>
      <c r="BU5" s="18">
        <f>+BV5+BW5+BX5</f>
        <v>1955.5</v>
      </c>
      <c r="BV5" s="19">
        <f>100+90.7+90.6+80.5+48.3</f>
        <v>410.09999999999997</v>
      </c>
      <c r="BW5" s="19">
        <f>125.7+115.4+114.3+109.3+102.3+95.5+85.1+83.7+77</f>
        <v>908.3000000000001</v>
      </c>
      <c r="BX5" s="19">
        <f>100+100+97.6+93+88.7+83.3+74.5</f>
        <v>637.1</v>
      </c>
      <c r="BY5" s="18">
        <f>+BZ5+CA5+CB5</f>
        <v>1583.9</v>
      </c>
      <c r="BZ5" s="19">
        <f>105+99+96.7+46.7+45.1</f>
        <v>392.5</v>
      </c>
      <c r="CA5" s="19">
        <f>105.1+95.5+94+85.8+80.3+60.5+55.5+40.3+39.3</f>
        <v>656.3</v>
      </c>
      <c r="CB5" s="20">
        <f>90.3+84.4+82.4+76+68.7+67.8+65.5</f>
        <v>535.1</v>
      </c>
    </row>
    <row r="6" spans="2:80" ht="12.75">
      <c r="B6" s="15">
        <v>3</v>
      </c>
      <c r="C6" s="16" t="s">
        <v>3</v>
      </c>
      <c r="D6" s="17">
        <f t="shared" si="0"/>
        <v>37942.77647058824</v>
      </c>
      <c r="E6" s="18">
        <f>+F6+G6+H6</f>
        <v>1934.6000000000001</v>
      </c>
      <c r="F6" s="19">
        <f>70.1+33.4+83.8+70.6+77+78.3+100+86.3</f>
        <v>599.5</v>
      </c>
      <c r="G6" s="19">
        <f>100+88.3+82+10+100.7+66.1+53.1+100+32.5+134.7</f>
        <v>767.4000000000001</v>
      </c>
      <c r="H6" s="19">
        <f>81.2+68.6+71.1+70.2+100+76.6+100</f>
        <v>567.7</v>
      </c>
      <c r="I6" s="18">
        <f>+J6+K6+L6</f>
        <v>1907.6</v>
      </c>
      <c r="J6" s="19">
        <f>79.3+10+90.9+64+71.4+69.7+100+79.6</f>
        <v>564.9</v>
      </c>
      <c r="K6" s="19">
        <f>100+89.7+76.9+107.3+47+46.3+97.4+36.6+145.6</f>
        <v>746.8000000000001</v>
      </c>
      <c r="L6" s="19">
        <f>92.4+77.6+75+94.7+80.4+100+75.8</f>
        <v>595.9</v>
      </c>
      <c r="M6" s="18">
        <f>+N6+O6+P6</f>
        <v>2047.9</v>
      </c>
      <c r="N6" s="19">
        <v>659.6</v>
      </c>
      <c r="O6" s="19">
        <v>836.6</v>
      </c>
      <c r="P6" s="19">
        <v>551.7</v>
      </c>
      <c r="Q6" s="18">
        <f t="shared" si="1"/>
        <v>2078.1</v>
      </c>
      <c r="R6" s="19">
        <v>704.9</v>
      </c>
      <c r="S6" s="19">
        <v>798.3</v>
      </c>
      <c r="T6" s="19">
        <v>574.9</v>
      </c>
      <c r="U6" s="18">
        <f>+V6+W6+X6</f>
        <v>1994.6</v>
      </c>
      <c r="V6" s="19">
        <v>715.3</v>
      </c>
      <c r="W6" s="19">
        <v>689</v>
      </c>
      <c r="X6" s="19">
        <v>590.3</v>
      </c>
      <c r="Y6" s="18">
        <f>+Z6+AA6+AB6</f>
        <v>1908.8</v>
      </c>
      <c r="Z6" s="19">
        <v>597</v>
      </c>
      <c r="AA6" s="19">
        <v>730.5</v>
      </c>
      <c r="AB6" s="19">
        <v>581.3</v>
      </c>
      <c r="AC6" s="18">
        <f t="shared" si="2"/>
        <v>1873.6999999999998</v>
      </c>
      <c r="AD6" s="19">
        <v>668.1</v>
      </c>
      <c r="AE6" s="19">
        <v>665</v>
      </c>
      <c r="AF6" s="19">
        <v>540.6</v>
      </c>
      <c r="AG6" s="18">
        <f t="shared" si="3"/>
        <v>2058.5</v>
      </c>
      <c r="AH6" s="19">
        <v>744.3</v>
      </c>
      <c r="AI6" s="19">
        <v>754.4</v>
      </c>
      <c r="AJ6" s="19">
        <v>559.8</v>
      </c>
      <c r="AK6" s="18">
        <f t="shared" si="4"/>
        <v>2127.8</v>
      </c>
      <c r="AL6" s="19">
        <v>747.1</v>
      </c>
      <c r="AM6" s="19">
        <v>823.3</v>
      </c>
      <c r="AN6" s="19">
        <v>557.4</v>
      </c>
      <c r="AO6" s="18">
        <f>+AP6+AQ6+AR6</f>
        <v>2251.5</v>
      </c>
      <c r="AP6" s="19">
        <v>713.6</v>
      </c>
      <c r="AQ6" s="19">
        <v>939.2</v>
      </c>
      <c r="AR6" s="19">
        <v>598.7</v>
      </c>
      <c r="AS6" s="18">
        <f t="shared" si="5"/>
        <v>2148.2</v>
      </c>
      <c r="AT6" s="19">
        <v>703.1</v>
      </c>
      <c r="AU6" s="19">
        <v>882.8</v>
      </c>
      <c r="AV6" s="19">
        <v>562.3</v>
      </c>
      <c r="AW6" s="18">
        <f t="shared" si="6"/>
        <v>2102.2</v>
      </c>
      <c r="AX6" s="19">
        <v>682.8</v>
      </c>
      <c r="AY6" s="19">
        <v>861.6</v>
      </c>
      <c r="AZ6" s="19">
        <v>557.8</v>
      </c>
      <c r="BA6" s="18">
        <f t="shared" si="7"/>
        <v>2092.8999999999996</v>
      </c>
      <c r="BB6" s="19">
        <v>681.3</v>
      </c>
      <c r="BC6" s="19">
        <v>786.9</v>
      </c>
      <c r="BD6" s="19">
        <v>624.7</v>
      </c>
      <c r="BE6" s="23">
        <f t="shared" si="8"/>
        <v>1996.9882352941177</v>
      </c>
      <c r="BF6" s="21">
        <f>+(F6+J6+N6+R6+V6+Z6+AD6+AH6+AL6+AP6+AT6+AX6+BB6+BN6+BR6+BV6+BZ6)/17</f>
        <v>670.4000000000001</v>
      </c>
      <c r="BG6" s="21">
        <f>+(G6+K6+O6+S6+W6+AA6+AE6+AI6+AM6+AQ6+AU6+AY6+BC6+BO6+BS6+BW6+CA6)/17</f>
        <v>774.4882352941177</v>
      </c>
      <c r="BH6" s="21">
        <f>+(H6+L6+P6+T6+X6+AB6+AF6+AJ6+AN6+AR6+AV6+AZ6+BD6+BP6+BT6+BX6+CB6)/17</f>
        <v>552.1</v>
      </c>
      <c r="BI6" s="23">
        <f t="shared" si="9"/>
        <v>1996.9882352941177</v>
      </c>
      <c r="BJ6" s="21">
        <f>+(F6+J6+N6+R6+V6+Z6+AD6+AH6+AL6+AP6+AT6+AX6+BB6+BN6+BR6+BV6+BZ6)/17</f>
        <v>670.4000000000001</v>
      </c>
      <c r="BK6" s="21">
        <f>+(G6+K6+O6+S6+W6+AA6+AE6+AI6+AM6+AQ6+AU6+AY6+BC6+BO6+BS6+BW6+CA6)/17</f>
        <v>774.4882352941177</v>
      </c>
      <c r="BL6" s="21">
        <f>+(H6+L6+P6+T6+X6+AB6+AF6+AJ6+AN6+AR6+AV6+AZ6+BD6+BP6+BT6+BX6+CB6)/17</f>
        <v>552.1</v>
      </c>
      <c r="BM6" s="18">
        <f t="shared" si="10"/>
        <v>2145.3999999999996</v>
      </c>
      <c r="BN6" s="35">
        <v>707.9</v>
      </c>
      <c r="BO6" s="35">
        <v>889.7</v>
      </c>
      <c r="BP6" s="35">
        <v>547.8</v>
      </c>
      <c r="BQ6" s="18">
        <f t="shared" si="11"/>
        <v>2120.7</v>
      </c>
      <c r="BR6" s="35">
        <v>738.9</v>
      </c>
      <c r="BS6" s="35">
        <v>833.7</v>
      </c>
      <c r="BT6" s="36">
        <v>548.1</v>
      </c>
      <c r="BU6" s="18">
        <f>+BV6+BW6+BX6</f>
        <v>2065.9</v>
      </c>
      <c r="BV6" s="35">
        <f>100+100+91+90.2+84+77.9+77.6+75.3+74.1</f>
        <v>770.1</v>
      </c>
      <c r="BW6" s="35">
        <f>144.7+134.6+96.1+90.5+78.1+65.4+57.7+49+45.7</f>
        <v>761.8000000000001</v>
      </c>
      <c r="BX6" s="35">
        <f>99.8+94.7+80.4+80.2+66.9+57.8+54.2</f>
        <v>534</v>
      </c>
      <c r="BY6" s="18">
        <f>+BZ6+CA6+CB6</f>
        <v>1090.4</v>
      </c>
      <c r="BZ6" s="35">
        <f>96.4+95.1+76.8+75.8+54.3</f>
        <v>398.40000000000003</v>
      </c>
      <c r="CA6" s="35">
        <f>110+80.3+79.9+70+49.1+10</f>
        <v>399.30000000000007</v>
      </c>
      <c r="CB6" s="36">
        <f>63.7+61.5+59.7+39.5+38.9+29.4</f>
        <v>292.7</v>
      </c>
    </row>
    <row r="7" spans="2:80" ht="12.75">
      <c r="B7" s="15">
        <v>4</v>
      </c>
      <c r="C7" s="16" t="s">
        <v>5</v>
      </c>
      <c r="D7" s="17">
        <f t="shared" si="0"/>
        <v>31791.81333333334</v>
      </c>
      <c r="E7" s="18">
        <f>+F7+G7+H7</f>
        <v>1354.4</v>
      </c>
      <c r="F7" s="19">
        <f>100+53.8+96+48.9+70.8+44.6</f>
        <v>414.1</v>
      </c>
      <c r="G7" s="19">
        <f>87.5+81.6+10+53.7+59.2+78.8</f>
        <v>370.8</v>
      </c>
      <c r="H7" s="19">
        <f>82.4+64.5+82.9+91+100+82.2+66.5</f>
        <v>569.5</v>
      </c>
      <c r="I7" s="18">
        <f>+J7+K7+L7</f>
        <v>1274.7</v>
      </c>
      <c r="J7" s="19">
        <f>100+10+98.4+53.7+45.6</f>
        <v>307.70000000000005</v>
      </c>
      <c r="K7" s="19">
        <f>71.8+57.7+81.1+49.5+63.1+75.9</f>
        <v>399.1</v>
      </c>
      <c r="L7" s="19">
        <f>82.3+100+65.5+80.2+100+63.3+76.6</f>
        <v>567.9</v>
      </c>
      <c r="M7" s="18">
        <f>+N7+O7+P7</f>
        <v>1845.3000000000002</v>
      </c>
      <c r="N7" s="19">
        <v>496.1</v>
      </c>
      <c r="O7" s="19">
        <v>765.6</v>
      </c>
      <c r="P7" s="19">
        <v>583.6</v>
      </c>
      <c r="Q7" s="18">
        <f t="shared" si="1"/>
        <v>1750.6999999999998</v>
      </c>
      <c r="R7" s="19">
        <v>556.4</v>
      </c>
      <c r="S7" s="19">
        <v>612.8</v>
      </c>
      <c r="T7" s="19">
        <v>581.5</v>
      </c>
      <c r="U7" s="18">
        <f>+V7+W7+X7</f>
        <v>1642.7</v>
      </c>
      <c r="V7" s="19">
        <v>453.5</v>
      </c>
      <c r="W7" s="19">
        <v>575.7</v>
      </c>
      <c r="X7" s="19">
        <v>613.5</v>
      </c>
      <c r="Y7" s="18">
        <f>+Z7+AA7+AB7</f>
        <v>1811.8</v>
      </c>
      <c r="Z7" s="19">
        <v>623.8</v>
      </c>
      <c r="AA7" s="19">
        <v>596.3</v>
      </c>
      <c r="AB7" s="19">
        <v>591.7</v>
      </c>
      <c r="AC7" s="18">
        <f t="shared" si="2"/>
        <v>2007.6</v>
      </c>
      <c r="AD7" s="19">
        <v>618.9</v>
      </c>
      <c r="AE7" s="19">
        <v>818.3</v>
      </c>
      <c r="AF7" s="19">
        <v>570.4</v>
      </c>
      <c r="AG7" s="18">
        <f t="shared" si="3"/>
        <v>1958.8</v>
      </c>
      <c r="AH7" s="19">
        <v>640.1</v>
      </c>
      <c r="AI7" s="19">
        <v>764</v>
      </c>
      <c r="AJ7" s="19">
        <v>554.7</v>
      </c>
      <c r="AK7" s="18">
        <f t="shared" si="4"/>
        <v>1871.8000000000002</v>
      </c>
      <c r="AL7" s="19">
        <v>674</v>
      </c>
      <c r="AM7" s="19">
        <v>636.7</v>
      </c>
      <c r="AN7" s="19">
        <v>561.1</v>
      </c>
      <c r="AO7" s="23">
        <f>+AP7+AQ7+AR7</f>
        <v>1673.2533333333336</v>
      </c>
      <c r="AP7" s="21">
        <f>+(F7+J7+N7+R7+V7+Z7+AD7+AH7+AL7+BF7+BJ7+BN7+BR7+BV7+BZ7)/15</f>
        <v>540.36</v>
      </c>
      <c r="AQ7" s="21">
        <f>+(G7+K7+O7+S7+W7+AA7+AE7+AI7+AM7+BG7+BK7+BO7+BS7+BW7+CA7)/15</f>
        <v>592.88</v>
      </c>
      <c r="AR7" s="21">
        <f>+(H7+L7+P7+T7+X7+AB7+AF7+AJ7+AN7+BH7+BL7+BP7+BT7+BX7+CB7)/15</f>
        <v>540.0133333333334</v>
      </c>
      <c r="AS7" s="23">
        <f t="shared" si="5"/>
        <v>1673.2533333333336</v>
      </c>
      <c r="AT7" s="21">
        <f>+(F7+J7+N7+R7+V7+Z7+AD7+AH7+AL7+BF7+BJ7+BN7+BR7+BV7+BZ7)/15</f>
        <v>540.36</v>
      </c>
      <c r="AU7" s="21">
        <f>+(G7+K7+O7+S7+W7+AA7+AE7+AI7+AM7+BG7+BK7+BO7+BS7+BW7+CA7)/15</f>
        <v>592.88</v>
      </c>
      <c r="AV7" s="21">
        <f>+(H7+L7+P7+T7+X7+AB7+AF7+AJ7+AN7+BH7+BL7+BP7+BT7+BX7+CB7)/15</f>
        <v>540.0133333333334</v>
      </c>
      <c r="AW7" s="23">
        <f t="shared" si="6"/>
        <v>1673.2533333333336</v>
      </c>
      <c r="AX7" s="21">
        <f>+(F7+J7+N7+R7+V7+Z7+AD7+AH7+AL7+BF7+BJ7+BN7+BR7+BV7+BZ7)/15</f>
        <v>540.36</v>
      </c>
      <c r="AY7" s="21">
        <f>+(G7+K7+O7+S7+W7+AA7+AE7+AI7+AM7+BG7+BK7+BO7+BS7+BW7+CA7)/15</f>
        <v>592.88</v>
      </c>
      <c r="AZ7" s="21">
        <f>+(H7+L7+P7+T7+X7+AB7+AF7+AJ7+AN7+BH7+BL7+BP7+BT7+BX7+CB7)/15</f>
        <v>540.0133333333334</v>
      </c>
      <c r="BA7" s="23">
        <f t="shared" si="7"/>
        <v>1673.2533333333336</v>
      </c>
      <c r="BB7" s="21">
        <f>+(F7+J7+N7+R7+V7+Z7+AD7+AH7+AL7+BF7+BJ7+BN7+BR7+BV7+BZ7)/15</f>
        <v>540.36</v>
      </c>
      <c r="BC7" s="21">
        <f>+(G7+K7+O7+S7+W7+AA7+AE7+AI7+AM7+BG7+BK7+BO7+BS7+BW7+CA7)/15</f>
        <v>592.88</v>
      </c>
      <c r="BD7" s="21">
        <f>+(H7+L7+P7+T7+X7+AB7+AF7+AJ7+AN7+BH7+BL7+BP7+BT7+BX7+CB7)/15</f>
        <v>540.0133333333334</v>
      </c>
      <c r="BE7" s="18">
        <f t="shared" si="8"/>
        <v>1606.9</v>
      </c>
      <c r="BF7" s="35">
        <v>568</v>
      </c>
      <c r="BG7" s="35">
        <v>478.3</v>
      </c>
      <c r="BH7" s="35">
        <v>560.6</v>
      </c>
      <c r="BI7" s="18">
        <f t="shared" si="9"/>
        <v>1571.4</v>
      </c>
      <c r="BJ7" s="35">
        <v>548.3</v>
      </c>
      <c r="BK7" s="35">
        <v>473.1</v>
      </c>
      <c r="BL7" s="35">
        <v>550</v>
      </c>
      <c r="BM7" s="18">
        <f t="shared" si="10"/>
        <v>1986.1999999999998</v>
      </c>
      <c r="BN7" s="35">
        <v>649.3</v>
      </c>
      <c r="BO7" s="35">
        <v>813.4</v>
      </c>
      <c r="BP7" s="35">
        <v>523.5</v>
      </c>
      <c r="BQ7" s="18">
        <f t="shared" si="11"/>
        <v>2024.2</v>
      </c>
      <c r="BR7" s="35">
        <v>700.7</v>
      </c>
      <c r="BS7" s="35">
        <v>804.5</v>
      </c>
      <c r="BT7" s="36">
        <v>519</v>
      </c>
      <c r="BU7" s="18">
        <f>+BV7+BW7+BX7</f>
        <v>1622.6</v>
      </c>
      <c r="BV7" s="35">
        <f>100+100+97.9+73.4+71.5+63.6+62.9+58.1+54.9</f>
        <v>682.3</v>
      </c>
      <c r="BW7" s="35">
        <f>94.9+94.7+85.1+76.9+75.7+50.7</f>
        <v>478</v>
      </c>
      <c r="BX7" s="35">
        <f>92.9+64.7+62.4+61.7+61.5+59.9+59.2</f>
        <v>462.3</v>
      </c>
      <c r="BY7" s="18">
        <f>+BZ7+CA7+CB7</f>
        <v>769.6999999999999</v>
      </c>
      <c r="BZ7" s="35">
        <f>97.1+65.1+10</f>
        <v>172.2</v>
      </c>
      <c r="CA7" s="35">
        <f>78+75.7+65.2+40.5+37.2+10</f>
        <v>306.59999999999997</v>
      </c>
      <c r="CB7" s="36">
        <f>58+43.4+39.5+38.8+38.5+36.5+36.2</f>
        <v>290.9</v>
      </c>
    </row>
    <row r="8" spans="2:80" ht="12.75">
      <c r="B8" s="15">
        <v>5</v>
      </c>
      <c r="C8" s="16" t="s">
        <v>10</v>
      </c>
      <c r="D8" s="17">
        <f t="shared" si="0"/>
        <v>27125.455555555556</v>
      </c>
      <c r="E8" s="18">
        <f>+F8+G8+H8</f>
        <v>1655.3999999999999</v>
      </c>
      <c r="F8" s="19">
        <f>49.5+33.6+72.4+26.5</f>
        <v>182</v>
      </c>
      <c r="G8" s="19">
        <f>131.9+124.9+113+98.6+22.7+10+141+116.2+89.3</f>
        <v>847.5999999999999</v>
      </c>
      <c r="H8" s="19">
        <f>100+99.3+95.9+86.8+74.7+70.3+98.8</f>
        <v>625.8</v>
      </c>
      <c r="I8" s="18">
        <f>+J8+K8+L8</f>
        <v>1677.0000000000002</v>
      </c>
      <c r="J8" s="19">
        <f>10+62.3+37.5</f>
        <v>109.8</v>
      </c>
      <c r="K8" s="19">
        <f>150+135.9+88.2+96.9+33.1+44.6+146.2+139.2+108.2</f>
        <v>942.3000000000002</v>
      </c>
      <c r="L8" s="19">
        <f>100+94.5+99+94.4+80.3+82.5+74.2</f>
        <v>624.9000000000001</v>
      </c>
      <c r="M8" s="18">
        <f>+N8+O8+P8</f>
        <v>1104.8</v>
      </c>
      <c r="N8" s="19">
        <v>110.2</v>
      </c>
      <c r="O8" s="19">
        <v>522.4</v>
      </c>
      <c r="P8" s="19">
        <v>472.2</v>
      </c>
      <c r="Q8" s="18">
        <f>+R8+S8+T8</f>
        <v>1129</v>
      </c>
      <c r="R8" s="19">
        <v>118</v>
      </c>
      <c r="S8" s="19">
        <v>451.3</v>
      </c>
      <c r="T8" s="19">
        <v>559.7</v>
      </c>
      <c r="U8" s="18">
        <f>+V8+W8+X8</f>
        <v>1063.5</v>
      </c>
      <c r="V8" s="19">
        <v>39.7</v>
      </c>
      <c r="W8" s="19">
        <v>582.9</v>
      </c>
      <c r="X8" s="19">
        <v>440.9</v>
      </c>
      <c r="Y8" s="18">
        <f>+Z8+AA8+AB8</f>
        <v>1152.1</v>
      </c>
      <c r="Z8" s="19">
        <v>59.6</v>
      </c>
      <c r="AA8" s="19">
        <v>588.8</v>
      </c>
      <c r="AB8" s="19">
        <v>503.7</v>
      </c>
      <c r="AC8" s="18">
        <f>+AD8+AE8+AF8</f>
        <v>1762.2000000000003</v>
      </c>
      <c r="AD8" s="19">
        <v>46.4</v>
      </c>
      <c r="AE8" s="19">
        <v>1073.4</v>
      </c>
      <c r="AF8" s="19">
        <v>642.4</v>
      </c>
      <c r="AG8" s="18">
        <f>+AH8+AI8+AJ8</f>
        <v>1773.2</v>
      </c>
      <c r="AH8" s="19">
        <v>47.8</v>
      </c>
      <c r="AI8" s="19">
        <v>1097.9</v>
      </c>
      <c r="AJ8" s="19">
        <v>627.5</v>
      </c>
      <c r="AK8" s="23">
        <f>+AL8+AM8+AN8</f>
        <v>1427.6555555555556</v>
      </c>
      <c r="AL8" s="21">
        <f>+(AH8+AD8+Z8+V8+R8+N8+J8+F8+AP8+AT8+AX8+BB8+BF8+BJ8+BN8+BR8+BV8+BZ8)/18</f>
        <v>92.10555555555555</v>
      </c>
      <c r="AM8" s="21">
        <f>+(AI8+AE8+AA8+W8+S8+O8+K8+G8+AQ8+AU8+AY8+BC8+BG8+BK8+BO8+BS8+BW8+CA8)/18</f>
        <v>770.3388888888888</v>
      </c>
      <c r="AN8" s="21">
        <f>+(AJ8+AF8+AB8+X8+T8+P8+L8+H8+AR8+AV8+AZ8+BD8+BH8+BL8+BP8+BT8+BX8+CB8)/18</f>
        <v>565.2111111111112</v>
      </c>
      <c r="AO8" s="18">
        <f>+AP8+AQ8+AR8</f>
        <v>1361.1999999999998</v>
      </c>
      <c r="AP8" s="19">
        <v>102</v>
      </c>
      <c r="AQ8" s="19">
        <v>624.8</v>
      </c>
      <c r="AR8" s="19">
        <v>634.4</v>
      </c>
      <c r="AS8" s="18">
        <f t="shared" si="5"/>
        <v>1410.3000000000002</v>
      </c>
      <c r="AT8" s="19">
        <v>145.5</v>
      </c>
      <c r="AU8" s="19">
        <v>676.2</v>
      </c>
      <c r="AV8" s="19">
        <v>588.6</v>
      </c>
      <c r="AW8" s="18">
        <f t="shared" si="6"/>
        <v>1255.2</v>
      </c>
      <c r="AX8" s="19">
        <v>126</v>
      </c>
      <c r="AY8" s="19">
        <v>575.7</v>
      </c>
      <c r="AZ8" s="19">
        <v>553.5</v>
      </c>
      <c r="BA8" s="18">
        <f t="shared" si="7"/>
        <v>1176.4</v>
      </c>
      <c r="BB8" s="19">
        <v>157.1</v>
      </c>
      <c r="BC8" s="19">
        <v>397</v>
      </c>
      <c r="BD8" s="19">
        <v>622.3</v>
      </c>
      <c r="BE8" s="18">
        <f>+BF8+BG8+BH8</f>
        <v>1599.5</v>
      </c>
      <c r="BF8" s="19">
        <v>40.6</v>
      </c>
      <c r="BG8" s="19">
        <v>943.6</v>
      </c>
      <c r="BH8" s="19">
        <v>615.3</v>
      </c>
      <c r="BI8" s="18">
        <f>+BJ8+BK8+BL8</f>
        <v>1573</v>
      </c>
      <c r="BJ8" s="19">
        <v>38.7</v>
      </c>
      <c r="BK8" s="19">
        <v>915.1</v>
      </c>
      <c r="BL8" s="19">
        <v>619.2</v>
      </c>
      <c r="BM8" s="18">
        <f>+BN8+BO8+BP8</f>
        <v>1780.8</v>
      </c>
      <c r="BN8" s="19">
        <v>160.6</v>
      </c>
      <c r="BO8" s="19">
        <v>1021</v>
      </c>
      <c r="BP8" s="19">
        <v>599.2</v>
      </c>
      <c r="BQ8" s="18">
        <f>+BR8+BS8+BT8</f>
        <v>1644</v>
      </c>
      <c r="BR8" s="19">
        <v>127.9</v>
      </c>
      <c r="BS8" s="19">
        <v>935.5</v>
      </c>
      <c r="BT8" s="20">
        <v>580.6</v>
      </c>
      <c r="BU8" s="18">
        <f>+BV8+BW8+BX8</f>
        <v>1578.8</v>
      </c>
      <c r="BV8" s="19">
        <v>46</v>
      </c>
      <c r="BW8" s="19">
        <f>150+130.7+128.9+124.1+122.8+114.4+101.4+76.1+73.9</f>
        <v>1022.3</v>
      </c>
      <c r="BX8" s="19">
        <f>100+92.3+70.2+69.9+59.7+59.7+58.7</f>
        <v>510.49999999999994</v>
      </c>
      <c r="BY8" s="18">
        <f>+BZ8+CA8+CB8</f>
        <v>1001.4</v>
      </c>
      <c r="BZ8" s="19"/>
      <c r="CA8" s="19">
        <f>109.5+104.1+103.4+103.2+94.2+73.3+50.6+10</f>
        <v>648.3</v>
      </c>
      <c r="CB8" s="20">
        <f>104.1+92.2+70+48.8+38</f>
        <v>353.1</v>
      </c>
    </row>
    <row r="9" spans="2:80" ht="12.75">
      <c r="B9" s="15">
        <v>6</v>
      </c>
      <c r="C9" s="16" t="s">
        <v>7</v>
      </c>
      <c r="D9" s="17">
        <f t="shared" si="0"/>
        <v>25689.229411764707</v>
      </c>
      <c r="E9" s="18">
        <f>+F9+G9+H9</f>
        <v>1027.8000000000002</v>
      </c>
      <c r="F9" s="19">
        <f>87.2+53+46.6+78.2+53.6+55.7+39.6+75</f>
        <v>488.90000000000003</v>
      </c>
      <c r="G9" s="19">
        <f>60.5+74.3+76.9+47.1</f>
        <v>258.8</v>
      </c>
      <c r="H9" s="19">
        <f>60.6+80.3+72.1+67.1</f>
        <v>280.1</v>
      </c>
      <c r="I9" s="18">
        <f>+J9+K9+L9</f>
        <v>1151.9</v>
      </c>
      <c r="J9" s="19">
        <f>95.4+73.2+64.1+86.7+71.1+46.9+42.8+75</f>
        <v>555.2</v>
      </c>
      <c r="K9" s="19">
        <f>10+52.7+100+74</f>
        <v>236.7</v>
      </c>
      <c r="L9" s="19">
        <f>74.9+100+90.8+94.3</f>
        <v>360</v>
      </c>
      <c r="M9" s="23">
        <f>+P9+O9+N9</f>
        <v>1352.0647058823533</v>
      </c>
      <c r="N9" s="24">
        <f>+(V9+Z9+F9+J9+AD9+AH9+AL9+AP9+AT9+AX9+BB9+BF9+BJ9+BN9+BR9+BV9+BZ9)/17</f>
        <v>556.9000000000002</v>
      </c>
      <c r="O9" s="24">
        <f>+(W9+AA9+G9+K9+AE9+AI9+AM9+AQ9+AU9+AY9+BC9+BG9+BK9+BO9+BS9+BW9+CA9)/17</f>
        <v>461.5</v>
      </c>
      <c r="P9" s="24">
        <f>+(X9+AB9+H9+L9+AF9+AJ9+AN9+AR9+AV9+AZ9+BD9+BH9+BL9+BP9+BT9+BX9+CB9)/17</f>
        <v>333.66470588235296</v>
      </c>
      <c r="Q9" s="23">
        <f t="shared" si="1"/>
        <v>1352.064705882353</v>
      </c>
      <c r="R9" s="24">
        <f>+(V9+Z9+F9+J9+AD9+AH9+AL9+AP9+AT9+AX9+BB9+BF9+BJ9+BN9+BR9+BV9+BZ9)/17</f>
        <v>556.9000000000002</v>
      </c>
      <c r="S9" s="24">
        <f>+(W9+AA9+G9+K9+AE9+AI9+AM9+AQ9+AU9+AY9+BC9+BG9+BK9+BO9+BS9+BW9+CA9)/17</f>
        <v>461.5</v>
      </c>
      <c r="T9" s="24">
        <f>+(X9+AB9+H9+L9+AF9+AJ9+AN9+AR9+AV9+AZ9+BD9+BH9+BL9+BP9+BT9+BX9+CB9)/17</f>
        <v>333.66470588235296</v>
      </c>
      <c r="U9" s="18">
        <f>+V9+W9+X9</f>
        <v>1673.8999999999999</v>
      </c>
      <c r="V9" s="19">
        <v>703.5</v>
      </c>
      <c r="W9" s="19">
        <v>682.6</v>
      </c>
      <c r="X9" s="19">
        <v>287.8</v>
      </c>
      <c r="Y9" s="18">
        <f>+Z9+AA9+AB9</f>
        <v>1450.7999999999997</v>
      </c>
      <c r="Z9" s="19">
        <v>654.3</v>
      </c>
      <c r="AA9" s="19">
        <v>606.9</v>
      </c>
      <c r="AB9" s="19">
        <v>189.6</v>
      </c>
      <c r="AC9" s="18">
        <f t="shared" si="2"/>
        <v>1493.6</v>
      </c>
      <c r="AD9" s="19">
        <v>577.5</v>
      </c>
      <c r="AE9" s="19">
        <v>566.1</v>
      </c>
      <c r="AF9" s="19">
        <v>350</v>
      </c>
      <c r="AG9" s="18">
        <f t="shared" si="3"/>
        <v>1588.9</v>
      </c>
      <c r="AH9" s="19">
        <v>576.7</v>
      </c>
      <c r="AI9" s="19">
        <v>630.2</v>
      </c>
      <c r="AJ9" s="19">
        <v>382</v>
      </c>
      <c r="AK9" s="18">
        <f t="shared" si="4"/>
        <v>1618.6</v>
      </c>
      <c r="AL9" s="19">
        <v>626.3</v>
      </c>
      <c r="AM9" s="19">
        <v>630.2</v>
      </c>
      <c r="AN9" s="19">
        <v>362.1</v>
      </c>
      <c r="AO9" s="18">
        <f>+AP9+AQ9+AR9</f>
        <v>1569.2</v>
      </c>
      <c r="AP9" s="19">
        <v>635.7</v>
      </c>
      <c r="AQ9" s="19">
        <v>561.7</v>
      </c>
      <c r="AR9" s="19">
        <v>371.8</v>
      </c>
      <c r="AS9" s="18">
        <f t="shared" si="5"/>
        <v>1585.4</v>
      </c>
      <c r="AT9" s="19">
        <v>604.1</v>
      </c>
      <c r="AU9" s="19">
        <v>621.3</v>
      </c>
      <c r="AV9" s="19">
        <v>360</v>
      </c>
      <c r="AW9" s="18">
        <f t="shared" si="6"/>
        <v>1362.3000000000002</v>
      </c>
      <c r="AX9" s="19">
        <v>651.1</v>
      </c>
      <c r="AY9" s="19">
        <v>343.3</v>
      </c>
      <c r="AZ9" s="19">
        <v>367.9</v>
      </c>
      <c r="BA9" s="18">
        <f t="shared" si="7"/>
        <v>1524.6</v>
      </c>
      <c r="BB9" s="19">
        <v>656.6</v>
      </c>
      <c r="BC9" s="19">
        <v>441.5</v>
      </c>
      <c r="BD9" s="19">
        <v>426.5</v>
      </c>
      <c r="BE9" s="18">
        <f t="shared" si="8"/>
        <v>1203.3999999999999</v>
      </c>
      <c r="BF9" s="19">
        <v>556.3</v>
      </c>
      <c r="BG9" s="19">
        <v>455</v>
      </c>
      <c r="BH9" s="19">
        <v>192.1</v>
      </c>
      <c r="BI9" s="18">
        <f t="shared" si="9"/>
        <v>1148.5</v>
      </c>
      <c r="BJ9" s="19">
        <v>525.9</v>
      </c>
      <c r="BK9" s="19">
        <v>365</v>
      </c>
      <c r="BL9" s="19">
        <v>257.6</v>
      </c>
      <c r="BM9" s="18">
        <f t="shared" si="10"/>
        <v>1399</v>
      </c>
      <c r="BN9" s="19">
        <v>599.8</v>
      </c>
      <c r="BO9" s="19">
        <v>351.5</v>
      </c>
      <c r="BP9" s="19">
        <v>447.7</v>
      </c>
      <c r="BQ9" s="18">
        <f t="shared" si="11"/>
        <v>1358.6999999999998</v>
      </c>
      <c r="BR9" s="19">
        <v>591.1</v>
      </c>
      <c r="BS9" s="19">
        <v>380.2</v>
      </c>
      <c r="BT9" s="20">
        <v>387.4</v>
      </c>
      <c r="BU9" s="18">
        <f aca="true" t="shared" si="12" ref="BU9:BU26">+BV9+BW9+BX9</f>
        <v>1209</v>
      </c>
      <c r="BV9" s="19">
        <f>68.7+60.8+54.7+50.6+50.2+34.6+10+10</f>
        <v>339.6</v>
      </c>
      <c r="BW9" s="19">
        <f>117.8+100+90.8+84.4+69.3</f>
        <v>462.3</v>
      </c>
      <c r="BX9" s="19">
        <f>100+100+80.9+79.4+46.8</f>
        <v>407.09999999999997</v>
      </c>
      <c r="BY9" s="18">
        <f aca="true" t="shared" si="13" ref="BY9:BY26">+BZ9+CA9+CB9</f>
        <v>619.5</v>
      </c>
      <c r="BZ9" s="19">
        <f>57.8+34.8+32.1</f>
        <v>124.69999999999999</v>
      </c>
      <c r="CA9" s="19">
        <f>76.1+67.6+62.8+45.7</f>
        <v>252.2</v>
      </c>
      <c r="CB9" s="20">
        <f>75.6+64.4+54.2+48.4</f>
        <v>242.6</v>
      </c>
    </row>
    <row r="10" spans="2:80" ht="12.75">
      <c r="B10" s="15">
        <v>7</v>
      </c>
      <c r="C10" s="16" t="s">
        <v>6</v>
      </c>
      <c r="D10" s="17">
        <f>+E10+I10+M10+Q10+U10+Y10+AC10+AG10+AK10+AO10+AS10+AW10+BA10+BE10+BI10+BM10+BQ10+BU10+BY10</f>
        <v>22978.376470588235</v>
      </c>
      <c r="E10" s="18">
        <f>+F10+G10+H10</f>
        <v>671.6</v>
      </c>
      <c r="F10" s="19">
        <f>10+78.7+63.9+39.1+30.8</f>
        <v>222.5</v>
      </c>
      <c r="G10" s="19">
        <f>78.6+95+92.4+51.8+72.3+59</f>
        <v>449.1</v>
      </c>
      <c r="H10" s="19"/>
      <c r="I10" s="18">
        <f>+J10+K10+L10</f>
        <v>587.1</v>
      </c>
      <c r="J10" s="19">
        <f>19.1+75.2+55.4+10+52.1</f>
        <v>211.8</v>
      </c>
      <c r="K10" s="19">
        <f>63.9+102.7+10+31.4+30.2+74.5+62.6</f>
        <v>375.3</v>
      </c>
      <c r="L10" s="19"/>
      <c r="M10" s="18">
        <f aca="true" t="shared" si="14" ref="M10:M36">+N10+O10+P10</f>
        <v>1185.3</v>
      </c>
      <c r="N10" s="19">
        <v>254.9</v>
      </c>
      <c r="O10" s="19">
        <v>818.6</v>
      </c>
      <c r="P10" s="19">
        <v>111.8</v>
      </c>
      <c r="Q10" s="18">
        <f aca="true" t="shared" si="15" ref="Q10:Q42">+R10+S10+T10</f>
        <v>932.9</v>
      </c>
      <c r="R10" s="19">
        <v>205.3</v>
      </c>
      <c r="S10" s="19">
        <v>600.5</v>
      </c>
      <c r="T10" s="19">
        <v>127.1</v>
      </c>
      <c r="U10" s="18">
        <f>+V10+W10+X10</f>
        <v>1725</v>
      </c>
      <c r="V10" s="19">
        <v>484.5</v>
      </c>
      <c r="W10" s="19">
        <v>1042.4</v>
      </c>
      <c r="X10" s="19">
        <v>198.1</v>
      </c>
      <c r="Y10" s="18">
        <f>+Z10+AA10+AB10</f>
        <v>1722</v>
      </c>
      <c r="Z10" s="19">
        <v>499.4</v>
      </c>
      <c r="AA10" s="19">
        <v>1023.6</v>
      </c>
      <c r="AB10" s="19">
        <v>199</v>
      </c>
      <c r="AC10" s="18">
        <f t="shared" si="2"/>
        <v>1071.2</v>
      </c>
      <c r="AD10" s="19">
        <v>154.8</v>
      </c>
      <c r="AE10" s="19">
        <v>654.1</v>
      </c>
      <c r="AF10" s="19">
        <v>262.3</v>
      </c>
      <c r="AG10" s="18">
        <f t="shared" si="3"/>
        <v>1210.6</v>
      </c>
      <c r="AH10" s="19">
        <v>220.4</v>
      </c>
      <c r="AI10" s="19">
        <v>670</v>
      </c>
      <c r="AJ10" s="19">
        <v>320.2</v>
      </c>
      <c r="AK10" s="18">
        <f t="shared" si="4"/>
        <v>1534.8</v>
      </c>
      <c r="AL10" s="19">
        <v>322.5</v>
      </c>
      <c r="AM10" s="19">
        <v>709.5</v>
      </c>
      <c r="AN10" s="19">
        <v>502.8</v>
      </c>
      <c r="AO10" s="18">
        <f>+AP10+AQ10+AR10</f>
        <v>1266</v>
      </c>
      <c r="AP10" s="19">
        <v>287.3</v>
      </c>
      <c r="AQ10" s="19">
        <v>700.6</v>
      </c>
      <c r="AR10" s="19">
        <v>278.1</v>
      </c>
      <c r="AS10" s="18">
        <f t="shared" si="5"/>
        <v>1062.7</v>
      </c>
      <c r="AT10" s="19">
        <v>177.2</v>
      </c>
      <c r="AU10" s="19">
        <v>624</v>
      </c>
      <c r="AV10" s="19">
        <v>261.5</v>
      </c>
      <c r="AW10" s="18">
        <f t="shared" si="6"/>
        <v>928.1999999999999</v>
      </c>
      <c r="AX10" s="19">
        <v>240.7</v>
      </c>
      <c r="AY10" s="19">
        <v>518.6</v>
      </c>
      <c r="AZ10" s="19">
        <v>168.9</v>
      </c>
      <c r="BA10" s="18">
        <f t="shared" si="7"/>
        <v>1267</v>
      </c>
      <c r="BB10" s="19">
        <v>390</v>
      </c>
      <c r="BC10" s="19">
        <v>656.9</v>
      </c>
      <c r="BD10" s="19">
        <v>220.1</v>
      </c>
      <c r="BE10" s="18">
        <f t="shared" si="8"/>
        <v>1358.1</v>
      </c>
      <c r="BF10" s="19">
        <v>335.4</v>
      </c>
      <c r="BG10" s="19">
        <v>775.2</v>
      </c>
      <c r="BH10" s="19">
        <v>247.5</v>
      </c>
      <c r="BI10" s="18">
        <f t="shared" si="9"/>
        <v>1359.8000000000002</v>
      </c>
      <c r="BJ10" s="19">
        <v>322.6</v>
      </c>
      <c r="BK10" s="19">
        <v>770.2</v>
      </c>
      <c r="BL10" s="19">
        <v>267</v>
      </c>
      <c r="BM10" s="18">
        <f t="shared" si="10"/>
        <v>1370.6999999999998</v>
      </c>
      <c r="BN10" s="19">
        <v>349.5</v>
      </c>
      <c r="BO10" s="19">
        <v>709.1</v>
      </c>
      <c r="BP10" s="19">
        <v>312.1</v>
      </c>
      <c r="BQ10" s="18">
        <f t="shared" si="11"/>
        <v>1306.6000000000001</v>
      </c>
      <c r="BR10" s="19">
        <v>321.8</v>
      </c>
      <c r="BS10" s="19">
        <v>586.1</v>
      </c>
      <c r="BT10" s="20">
        <v>398.7</v>
      </c>
      <c r="BU10" s="23">
        <f t="shared" si="12"/>
        <v>1209.3882352941177</v>
      </c>
      <c r="BV10" s="21">
        <f>+(BR10+BN10+BJ10+BF10+BB10+AX10+AT10+AP10+AL10+AH10+AD10+Z10+V10+R10+N10+J10+F10)/17</f>
        <v>294.1529411764706</v>
      </c>
      <c r="BW10" s="21">
        <f>+(BS10+BO10+BK10+BG10+BC10+AY10+AU10+AQ10+AM10+AI10+AE10+AA10+W10+S10+O10+K10+G10)/17</f>
        <v>687.2823529411766</v>
      </c>
      <c r="BX10" s="21">
        <f>+(BT10+BP10+BL10+BH10+BD10+AZ10+AV10+AR10+AN10+AJ10+AF10+AB10+X10+T10+P10+L10+H10)/17</f>
        <v>227.9529411764706</v>
      </c>
      <c r="BY10" s="23">
        <f t="shared" si="13"/>
        <v>1209.3882352941177</v>
      </c>
      <c r="BZ10" s="21">
        <f>+(BR10+BN10+BJ10+BF10+BB10+AX10+AT10+AP10+AL10+AH10+AD10+Z10+V10+R10+N10+J10+F10)/17</f>
        <v>294.1529411764706</v>
      </c>
      <c r="CA10" s="21">
        <f>+(BS10+BO10+BK10+BG10+BC10+AY10+AU10+AQ10+AM10+AI10+AE10+AA10+W10+S10+O10+K10+G10)/17</f>
        <v>687.2823529411766</v>
      </c>
      <c r="CB10" s="22">
        <f>+(BT10+BP10+BL10+BH10+BD10+AZ10+AV10+AR10+AN10+AJ10+AF10+AB10+X10+T10+P10+L10+H10)/17</f>
        <v>227.9529411764706</v>
      </c>
    </row>
    <row r="11" spans="2:80" ht="12.75">
      <c r="B11" s="15">
        <v>8</v>
      </c>
      <c r="C11" s="16" t="s">
        <v>8</v>
      </c>
      <c r="D11" s="17">
        <f aca="true" t="shared" si="16" ref="D11:D50">+E11+I11+M11+Q11+U11+Y11+AC11+AG11+AK11+AO11+AS11+AW11+BA11+BE11+BI11+BM11+BQ11+BU11+BY11</f>
        <v>22113.4</v>
      </c>
      <c r="E11" s="18">
        <f>+F11+G11+H11</f>
        <v>823.6000000000001</v>
      </c>
      <c r="F11" s="19">
        <f>87.4+74.6+100+89.3+60.8+62.7+60.4</f>
        <v>535.2</v>
      </c>
      <c r="G11" s="19">
        <f>75.5+60.2</f>
        <v>135.7</v>
      </c>
      <c r="H11" s="19">
        <f>60+39.9+52.8</f>
        <v>152.7</v>
      </c>
      <c r="I11" s="18">
        <f>+J11+K11+L11</f>
        <v>788.2</v>
      </c>
      <c r="J11" s="19">
        <f>93.2+86+92+92+58.5+68+83.3</f>
        <v>573</v>
      </c>
      <c r="K11" s="19">
        <f>63.9</f>
        <v>63.9</v>
      </c>
      <c r="L11" s="19">
        <f>54.2+40.7+56.4</f>
        <v>151.3</v>
      </c>
      <c r="M11" s="18">
        <f t="shared" si="14"/>
        <v>1153.3</v>
      </c>
      <c r="N11" s="19">
        <v>668.3</v>
      </c>
      <c r="O11" s="19">
        <v>249.8</v>
      </c>
      <c r="P11" s="19">
        <v>235.2</v>
      </c>
      <c r="Q11" s="18">
        <f t="shared" si="15"/>
        <v>1076.3999999999999</v>
      </c>
      <c r="R11" s="19">
        <v>634.9</v>
      </c>
      <c r="S11" s="19">
        <v>228.9</v>
      </c>
      <c r="T11" s="19">
        <v>212.6</v>
      </c>
      <c r="U11" s="18">
        <f>+V11+W11+X11</f>
        <v>1182.8000000000002</v>
      </c>
      <c r="V11" s="19">
        <v>766.2</v>
      </c>
      <c r="W11" s="19">
        <v>247.2</v>
      </c>
      <c r="X11" s="19">
        <v>169.4</v>
      </c>
      <c r="Y11" s="18">
        <f>+Z11+AA11+AB11</f>
        <v>1250</v>
      </c>
      <c r="Z11" s="19">
        <v>835.2</v>
      </c>
      <c r="AA11" s="19">
        <v>257.3</v>
      </c>
      <c r="AB11" s="19">
        <v>157.5</v>
      </c>
      <c r="AC11" s="18">
        <f t="shared" si="2"/>
        <v>1284.3</v>
      </c>
      <c r="AD11" s="19">
        <v>718.6</v>
      </c>
      <c r="AE11" s="19">
        <v>250.5</v>
      </c>
      <c r="AF11" s="19">
        <v>315.2</v>
      </c>
      <c r="AG11" s="18">
        <f t="shared" si="3"/>
        <v>1235.4</v>
      </c>
      <c r="AH11" s="19">
        <v>767.7</v>
      </c>
      <c r="AI11" s="19">
        <v>271.6</v>
      </c>
      <c r="AJ11" s="19">
        <v>196.1</v>
      </c>
      <c r="AK11" s="18">
        <f t="shared" si="4"/>
        <v>1381.6</v>
      </c>
      <c r="AL11" s="19">
        <v>767</v>
      </c>
      <c r="AM11" s="19">
        <v>229</v>
      </c>
      <c r="AN11" s="19">
        <v>385.6</v>
      </c>
      <c r="AO11" s="18">
        <f>+AP11+AQ11+AR11</f>
        <v>1121.7</v>
      </c>
      <c r="AP11" s="19">
        <v>732.6</v>
      </c>
      <c r="AQ11" s="19">
        <v>201.9</v>
      </c>
      <c r="AR11" s="19">
        <v>187.2</v>
      </c>
      <c r="AS11" s="18">
        <f t="shared" si="5"/>
        <v>1069.9</v>
      </c>
      <c r="AT11" s="19">
        <v>709</v>
      </c>
      <c r="AU11" s="19">
        <v>162.7</v>
      </c>
      <c r="AV11" s="19">
        <v>198.2</v>
      </c>
      <c r="AW11" s="18">
        <f t="shared" si="6"/>
        <v>1061.2</v>
      </c>
      <c r="AX11" s="19">
        <v>729.5</v>
      </c>
      <c r="AY11" s="19">
        <v>162.7</v>
      </c>
      <c r="AZ11" s="19">
        <v>169</v>
      </c>
      <c r="BA11" s="18">
        <f t="shared" si="7"/>
        <v>1228.3</v>
      </c>
      <c r="BB11" s="19">
        <v>747.9</v>
      </c>
      <c r="BC11" s="19">
        <v>259.4</v>
      </c>
      <c r="BD11" s="19">
        <v>221</v>
      </c>
      <c r="BE11" s="18">
        <f>+BF11+BG11+BH11</f>
        <v>1331.2</v>
      </c>
      <c r="BF11" s="19">
        <v>763.6</v>
      </c>
      <c r="BG11" s="19">
        <v>288.6</v>
      </c>
      <c r="BH11" s="19">
        <v>279</v>
      </c>
      <c r="BI11" s="18">
        <f>+BJ11+BK11+BL11</f>
        <v>1277.4</v>
      </c>
      <c r="BJ11" s="19">
        <v>730.8</v>
      </c>
      <c r="BK11" s="19">
        <v>318.1</v>
      </c>
      <c r="BL11" s="19">
        <v>228.5</v>
      </c>
      <c r="BM11" s="18">
        <f aca="true" t="shared" si="17" ref="BM11:BM17">+BN11+BO11+BP11</f>
        <v>1377.8000000000002</v>
      </c>
      <c r="BN11" s="19">
        <v>788.6</v>
      </c>
      <c r="BO11" s="19">
        <v>257.6</v>
      </c>
      <c r="BP11" s="19">
        <v>331.6</v>
      </c>
      <c r="BQ11" s="18">
        <f aca="true" t="shared" si="18" ref="BQ11:BQ17">+BR11+BS11+BT11</f>
        <v>1369.8000000000002</v>
      </c>
      <c r="BR11" s="19">
        <v>760.2</v>
      </c>
      <c r="BS11" s="19">
        <v>283</v>
      </c>
      <c r="BT11" s="20">
        <v>326.6</v>
      </c>
      <c r="BU11" s="18">
        <f t="shared" si="12"/>
        <v>1359.6</v>
      </c>
      <c r="BV11" s="19">
        <f>96+90.4+85.6+84.3+80.7+72.4+70.5+69.3+66.1</f>
        <v>715.3</v>
      </c>
      <c r="BW11" s="19">
        <f>72.2+64.3+60.1+41+38.9+36.3+23.2</f>
        <v>336</v>
      </c>
      <c r="BX11" s="19">
        <f>62.1+53.7+51.8+48.2+48.1+34.4+10</f>
        <v>308.3</v>
      </c>
      <c r="BY11" s="18">
        <f t="shared" si="13"/>
        <v>740.9</v>
      </c>
      <c r="BZ11" s="19">
        <f>94.5+88.5+86.8+73.2+59.4+52.1+43.5+38.6+10</f>
        <v>546.6</v>
      </c>
      <c r="CA11" s="19">
        <f>49.7+45.2</f>
        <v>94.9</v>
      </c>
      <c r="CB11" s="20">
        <f>39.1+35.7+24.6</f>
        <v>99.4</v>
      </c>
    </row>
    <row r="12" spans="2:80" ht="12.75">
      <c r="B12" s="15">
        <v>9</v>
      </c>
      <c r="C12" s="16" t="s">
        <v>9</v>
      </c>
      <c r="D12" s="17">
        <f t="shared" si="16"/>
        <v>19116.1</v>
      </c>
      <c r="E12" s="18">
        <f>+F12+G12+H12</f>
        <v>981.8999999999999</v>
      </c>
      <c r="F12" s="19">
        <f>77.9+68.8</f>
        <v>146.7</v>
      </c>
      <c r="G12" s="19">
        <f>91.1+109.1+70.6+69.7+45.5</f>
        <v>385.99999999999994</v>
      </c>
      <c r="H12" s="19">
        <f>79.7+80+58.5+74.5+86.8+69.7</f>
        <v>449.2</v>
      </c>
      <c r="I12" s="18">
        <f>+J12+K12+L12</f>
        <v>839.5</v>
      </c>
      <c r="J12" s="19">
        <f>83.6+72.4</f>
        <v>156</v>
      </c>
      <c r="K12" s="19">
        <f>68.2+111.3+63.9+46.8+24.9</f>
        <v>315.09999999999997</v>
      </c>
      <c r="L12" s="19">
        <f>86.8+62.3+48.4+10+90.3+70.6</f>
        <v>368.4</v>
      </c>
      <c r="M12" s="18">
        <f t="shared" si="14"/>
        <v>855</v>
      </c>
      <c r="N12" s="19">
        <v>71.3</v>
      </c>
      <c r="O12" s="19">
        <v>413.7</v>
      </c>
      <c r="P12" s="19">
        <v>370</v>
      </c>
      <c r="Q12" s="18">
        <f t="shared" si="15"/>
        <v>860.5</v>
      </c>
      <c r="R12" s="19">
        <v>10</v>
      </c>
      <c r="S12" s="19">
        <v>463.3</v>
      </c>
      <c r="T12" s="19">
        <v>387.2</v>
      </c>
      <c r="U12" s="18">
        <f>+V12+W12+X12</f>
        <v>1190.9</v>
      </c>
      <c r="V12" s="19">
        <v>88.5</v>
      </c>
      <c r="W12" s="19">
        <v>634.3</v>
      </c>
      <c r="X12" s="19">
        <v>468.1</v>
      </c>
      <c r="Y12" s="18">
        <f>+Z12+AA12+AB12</f>
        <v>1218.6</v>
      </c>
      <c r="Z12" s="19">
        <v>96.1</v>
      </c>
      <c r="AA12" s="19">
        <v>702.1</v>
      </c>
      <c r="AB12" s="19">
        <v>420.4</v>
      </c>
      <c r="AC12" s="18">
        <f t="shared" si="2"/>
        <v>1014.9</v>
      </c>
      <c r="AD12" s="19"/>
      <c r="AE12" s="19">
        <v>422.4</v>
      </c>
      <c r="AF12" s="19">
        <v>592.5</v>
      </c>
      <c r="AG12" s="18">
        <f t="shared" si="3"/>
        <v>923.8000000000001</v>
      </c>
      <c r="AH12" s="19"/>
      <c r="AI12" s="19">
        <v>377.6</v>
      </c>
      <c r="AJ12" s="19">
        <v>546.2</v>
      </c>
      <c r="AK12" s="18">
        <f t="shared" si="4"/>
        <v>1047.1</v>
      </c>
      <c r="AL12" s="19"/>
      <c r="AM12" s="19">
        <v>496.7</v>
      </c>
      <c r="AN12" s="19">
        <v>550.4</v>
      </c>
      <c r="AO12" s="18">
        <f>+AP12+AQ12+AR12</f>
        <v>1119.1</v>
      </c>
      <c r="AP12" s="19"/>
      <c r="AQ12" s="19">
        <v>598</v>
      </c>
      <c r="AR12" s="19">
        <v>521.1</v>
      </c>
      <c r="AS12" s="18">
        <f t="shared" si="5"/>
        <v>1184.5</v>
      </c>
      <c r="AT12" s="19"/>
      <c r="AU12" s="19">
        <v>656.1</v>
      </c>
      <c r="AV12" s="19">
        <v>528.4</v>
      </c>
      <c r="AW12" s="18">
        <f t="shared" si="6"/>
        <v>876.6</v>
      </c>
      <c r="AX12" s="19"/>
      <c r="AY12" s="19">
        <v>427.5</v>
      </c>
      <c r="AZ12" s="19">
        <v>449.1</v>
      </c>
      <c r="BA12" s="18">
        <f t="shared" si="7"/>
        <v>1184.1999999999998</v>
      </c>
      <c r="BB12" s="19"/>
      <c r="BC12" s="19">
        <v>622.8</v>
      </c>
      <c r="BD12" s="19">
        <v>561.4</v>
      </c>
      <c r="BE12" s="18">
        <f aca="true" t="shared" si="19" ref="BE12:BE19">+BF12+BG12+BH12</f>
        <v>1075.9</v>
      </c>
      <c r="BF12" s="19"/>
      <c r="BG12" s="19">
        <v>555.3</v>
      </c>
      <c r="BH12" s="19">
        <v>520.6</v>
      </c>
      <c r="BI12" s="18">
        <f aca="true" t="shared" si="20" ref="BI12:BI19">+BJ12+BK12+BL12</f>
        <v>1124.6</v>
      </c>
      <c r="BJ12" s="19"/>
      <c r="BK12" s="19">
        <v>551.5</v>
      </c>
      <c r="BL12" s="19">
        <v>573.1</v>
      </c>
      <c r="BM12" s="18">
        <f t="shared" si="17"/>
        <v>1044</v>
      </c>
      <c r="BN12" s="19"/>
      <c r="BO12" s="19">
        <v>535.3</v>
      </c>
      <c r="BP12" s="19">
        <v>508.7</v>
      </c>
      <c r="BQ12" s="18">
        <f t="shared" si="18"/>
        <v>1111.5</v>
      </c>
      <c r="BR12" s="19"/>
      <c r="BS12" s="19">
        <v>635.9</v>
      </c>
      <c r="BT12" s="20">
        <v>475.6</v>
      </c>
      <c r="BU12" s="18">
        <f t="shared" si="12"/>
        <v>952.3</v>
      </c>
      <c r="BV12" s="19"/>
      <c r="BW12" s="19">
        <f>106.2+88.8+88.1+86.4+38</f>
        <v>407.5</v>
      </c>
      <c r="BX12" s="19">
        <f>98.3+79.6+79.4+78.3+75.8+70.3+63.1</f>
        <v>544.8</v>
      </c>
      <c r="BY12" s="18">
        <f t="shared" si="13"/>
        <v>511.20000000000005</v>
      </c>
      <c r="BZ12" s="19"/>
      <c r="CA12" s="19">
        <f>74.7+65.4+10</f>
        <v>150.10000000000002</v>
      </c>
      <c r="CB12" s="20">
        <f>75.2+75.1+48.8+47.4+43.1+37.7+33.8</f>
        <v>361.1</v>
      </c>
    </row>
    <row r="13" spans="2:80" ht="12.75">
      <c r="B13" s="15">
        <v>10</v>
      </c>
      <c r="C13" s="16" t="s">
        <v>12</v>
      </c>
      <c r="D13" s="17">
        <f t="shared" si="16"/>
        <v>14653.300000000003</v>
      </c>
      <c r="E13" s="18">
        <f>+F13+G13+H13</f>
        <v>831.5999999999999</v>
      </c>
      <c r="F13" s="19">
        <f>78.5+48.6+42.6+75.4+60.6+80.3+75.4+40.2+52</f>
        <v>553.5999999999999</v>
      </c>
      <c r="G13" s="19">
        <f>74.5+70.3</f>
        <v>144.8</v>
      </c>
      <c r="H13" s="19">
        <f>63.7+69.5</f>
        <v>133.2</v>
      </c>
      <c r="I13" s="18">
        <f>+J13+K13+L13</f>
        <v>846.6000000000001</v>
      </c>
      <c r="J13" s="19">
        <f>83.6+74.6+73.9+68.8+76.1+52.7+75+63.5+52.7</f>
        <v>620.9000000000001</v>
      </c>
      <c r="K13" s="19">
        <f>53.5+50.7</f>
        <v>104.2</v>
      </c>
      <c r="L13" s="19">
        <f>60.2+61.3</f>
        <v>121.5</v>
      </c>
      <c r="M13" s="18">
        <f t="shared" si="14"/>
        <v>1046.2</v>
      </c>
      <c r="N13" s="19">
        <v>630.8</v>
      </c>
      <c r="O13" s="19">
        <v>303.7</v>
      </c>
      <c r="P13" s="19">
        <v>111.7</v>
      </c>
      <c r="Q13" s="18">
        <f t="shared" si="15"/>
        <v>928.1</v>
      </c>
      <c r="R13" s="19">
        <v>609.5</v>
      </c>
      <c r="S13" s="19">
        <v>236.6</v>
      </c>
      <c r="T13" s="19">
        <v>82</v>
      </c>
      <c r="U13" s="18">
        <f>+V13+W13+X13</f>
        <v>949.5</v>
      </c>
      <c r="V13" s="19">
        <v>640.8</v>
      </c>
      <c r="W13" s="19">
        <v>247</v>
      </c>
      <c r="X13" s="19">
        <v>61.7</v>
      </c>
      <c r="Y13" s="18">
        <f>+Z13+AA13+AB13</f>
        <v>987.6</v>
      </c>
      <c r="Z13" s="19">
        <v>668.8</v>
      </c>
      <c r="AA13" s="19">
        <v>255.1</v>
      </c>
      <c r="AB13" s="19">
        <v>63.7</v>
      </c>
      <c r="AC13" s="18">
        <f t="shared" si="2"/>
        <v>618.6</v>
      </c>
      <c r="AD13" s="19">
        <v>400.7</v>
      </c>
      <c r="AE13" s="19">
        <v>113.2</v>
      </c>
      <c r="AF13" s="19">
        <v>104.7</v>
      </c>
      <c r="AG13" s="18">
        <f t="shared" si="3"/>
        <v>674.3</v>
      </c>
      <c r="AH13" s="19">
        <v>416.4</v>
      </c>
      <c r="AI13" s="19">
        <v>182</v>
      </c>
      <c r="AJ13" s="19">
        <v>75.9</v>
      </c>
      <c r="AK13" s="18">
        <f t="shared" si="4"/>
        <v>402.8</v>
      </c>
      <c r="AL13" s="19">
        <v>214</v>
      </c>
      <c r="AM13" s="19">
        <v>188.8</v>
      </c>
      <c r="AN13" s="19"/>
      <c r="AO13" s="18">
        <f>+AP13+AQ13+AR13</f>
        <v>1092.8999999999999</v>
      </c>
      <c r="AP13" s="19">
        <v>551.3</v>
      </c>
      <c r="AQ13" s="19">
        <v>435.3</v>
      </c>
      <c r="AR13" s="19">
        <v>106.3</v>
      </c>
      <c r="AS13" s="18">
        <f t="shared" si="5"/>
        <v>1014.9000000000001</v>
      </c>
      <c r="AT13" s="19">
        <v>627.7</v>
      </c>
      <c r="AU13" s="19">
        <v>377.2</v>
      </c>
      <c r="AV13" s="19">
        <v>10</v>
      </c>
      <c r="AW13" s="18">
        <f t="shared" si="6"/>
        <v>762.6999999999999</v>
      </c>
      <c r="AX13" s="19">
        <v>535</v>
      </c>
      <c r="AY13" s="19">
        <v>200.9</v>
      </c>
      <c r="AZ13" s="19">
        <v>26.8</v>
      </c>
      <c r="BA13" s="18">
        <f t="shared" si="7"/>
        <v>801.4</v>
      </c>
      <c r="BB13" s="19">
        <v>459.6</v>
      </c>
      <c r="BC13" s="19">
        <v>242.4</v>
      </c>
      <c r="BD13" s="19">
        <v>99.4</v>
      </c>
      <c r="BE13" s="18">
        <f t="shared" si="19"/>
        <v>630.7</v>
      </c>
      <c r="BF13" s="19">
        <v>497.5</v>
      </c>
      <c r="BG13" s="19">
        <v>56.7</v>
      </c>
      <c r="BH13" s="19">
        <v>76.5</v>
      </c>
      <c r="BI13" s="18">
        <f t="shared" si="20"/>
        <v>520.5</v>
      </c>
      <c r="BJ13" s="19">
        <v>385.6</v>
      </c>
      <c r="BK13" s="19">
        <v>66.7</v>
      </c>
      <c r="BL13" s="19">
        <v>68.2</v>
      </c>
      <c r="BM13" s="18">
        <f t="shared" si="17"/>
        <v>808</v>
      </c>
      <c r="BN13" s="19">
        <v>632.4</v>
      </c>
      <c r="BO13" s="19">
        <v>135.1</v>
      </c>
      <c r="BP13" s="19">
        <v>40.5</v>
      </c>
      <c r="BQ13" s="18">
        <f t="shared" si="18"/>
        <v>614.6</v>
      </c>
      <c r="BR13" s="19">
        <v>473.9</v>
      </c>
      <c r="BS13" s="19">
        <v>107</v>
      </c>
      <c r="BT13" s="20">
        <v>33.7</v>
      </c>
      <c r="BU13" s="18">
        <f t="shared" si="12"/>
        <v>797.2</v>
      </c>
      <c r="BV13" s="19">
        <f>71.7+66+56.5+53.1+53+50+47.4+40.1+37.1</f>
        <v>474.9</v>
      </c>
      <c r="BW13" s="19">
        <f>75+55.4+48.5+46.6+45.1</f>
        <v>270.6</v>
      </c>
      <c r="BX13" s="19">
        <v>51.7</v>
      </c>
      <c r="BY13" s="18">
        <f t="shared" si="13"/>
        <v>325.1</v>
      </c>
      <c r="BZ13" s="19">
        <f>70.4+62.4+47.9+37.6</f>
        <v>218.3</v>
      </c>
      <c r="CA13" s="19">
        <f>37.3+30.2+29.3+10</f>
        <v>106.8</v>
      </c>
      <c r="CB13" s="20"/>
    </row>
    <row r="14" spans="2:80" ht="12.75">
      <c r="B14" s="15">
        <v>11</v>
      </c>
      <c r="C14" s="16" t="s">
        <v>18</v>
      </c>
      <c r="D14" s="17">
        <f>+E14+I14+M14+Q14+U14+Y14+AC14+AG14+AK14+AO14+AS14+AW14+BA14+BE14+BI14+BM14+BQ14+BU14+BY14</f>
        <v>12872.199999999999</v>
      </c>
      <c r="E14" s="18">
        <f>+F14+G14+H14</f>
        <v>780.7</v>
      </c>
      <c r="F14" s="19"/>
      <c r="G14" s="19">
        <f>122.9+108.2+106.4+73.7+51.2</f>
        <v>462.4</v>
      </c>
      <c r="H14" s="19">
        <f>67.3+100+86.9+64.1</f>
        <v>318.3</v>
      </c>
      <c r="I14" s="18">
        <f>+J14+K14+L14</f>
        <v>830.4</v>
      </c>
      <c r="J14" s="19"/>
      <c r="K14" s="19">
        <f>122.4+119.8+117.5+75+56.5</f>
        <v>491.2</v>
      </c>
      <c r="L14" s="19">
        <f>82+95+90.7+71.5</f>
        <v>339.2</v>
      </c>
      <c r="M14" s="18">
        <f>+N14+O14+P14</f>
        <v>777.1</v>
      </c>
      <c r="N14" s="19"/>
      <c r="O14" s="19">
        <v>438.6</v>
      </c>
      <c r="P14" s="19">
        <v>338.5</v>
      </c>
      <c r="Q14" s="18">
        <f>+R14+S14+T14</f>
        <v>748.7</v>
      </c>
      <c r="R14" s="19"/>
      <c r="S14" s="19">
        <v>413.6</v>
      </c>
      <c r="T14" s="19">
        <v>335.1</v>
      </c>
      <c r="U14" s="18">
        <f>+V14+W14+X14</f>
        <v>595.9000000000001</v>
      </c>
      <c r="V14" s="19"/>
      <c r="W14" s="19">
        <v>304.3</v>
      </c>
      <c r="X14" s="19">
        <v>291.6</v>
      </c>
      <c r="Y14" s="18">
        <f>+Z14+AA14+AB14</f>
        <v>474.6</v>
      </c>
      <c r="Z14" s="19"/>
      <c r="AA14" s="19">
        <v>284.5</v>
      </c>
      <c r="AB14" s="19">
        <v>190.1</v>
      </c>
      <c r="AC14" s="18">
        <f>+AD14+AE14+AF14</f>
        <v>806.3</v>
      </c>
      <c r="AD14" s="19"/>
      <c r="AE14" s="19">
        <v>349.4</v>
      </c>
      <c r="AF14" s="19">
        <v>456.9</v>
      </c>
      <c r="AG14" s="18">
        <f>+AH14+AI14+AJ14</f>
        <v>831.0999999999999</v>
      </c>
      <c r="AH14" s="19"/>
      <c r="AI14" s="19">
        <v>250.8</v>
      </c>
      <c r="AJ14" s="19">
        <v>580.3</v>
      </c>
      <c r="AK14" s="18">
        <f>+AL14+AM14+AN14</f>
        <v>968.8000000000001</v>
      </c>
      <c r="AL14" s="19"/>
      <c r="AM14" s="19">
        <v>444.1</v>
      </c>
      <c r="AN14" s="19">
        <v>524.7</v>
      </c>
      <c r="AO14" s="18">
        <f>+AP14+AQ14+AR14</f>
        <v>517.8</v>
      </c>
      <c r="AP14" s="19"/>
      <c r="AQ14" s="19">
        <v>114.6</v>
      </c>
      <c r="AR14" s="19">
        <v>403.2</v>
      </c>
      <c r="AS14" s="18">
        <f>+AT14+AU14+AV14</f>
        <v>569.1</v>
      </c>
      <c r="AT14" s="19"/>
      <c r="AU14" s="19">
        <v>140.6</v>
      </c>
      <c r="AV14" s="19">
        <v>428.5</v>
      </c>
      <c r="AW14" s="18">
        <f>+AX14+AY14+AZ14</f>
        <v>481.1</v>
      </c>
      <c r="AX14" s="19"/>
      <c r="AY14" s="19">
        <v>103.3</v>
      </c>
      <c r="AZ14" s="19">
        <v>377.8</v>
      </c>
      <c r="BA14" s="18">
        <f>+BB14+BC14+BD14</f>
        <v>468.9</v>
      </c>
      <c r="BB14" s="19"/>
      <c r="BC14" s="19">
        <v>110.7</v>
      </c>
      <c r="BD14" s="19">
        <v>358.2</v>
      </c>
      <c r="BE14" s="18">
        <f>+BF14+BG14+BH14</f>
        <v>651.5</v>
      </c>
      <c r="BF14" s="19"/>
      <c r="BG14" s="19">
        <v>303.4</v>
      </c>
      <c r="BH14" s="19">
        <v>348.1</v>
      </c>
      <c r="BI14" s="18">
        <f>+BJ14+BK14+BL14</f>
        <v>516.8</v>
      </c>
      <c r="BJ14" s="19"/>
      <c r="BK14" s="19">
        <v>193</v>
      </c>
      <c r="BL14" s="19">
        <v>323.8</v>
      </c>
      <c r="BM14" s="18">
        <f>+BN14+BO14+BP14</f>
        <v>701.2</v>
      </c>
      <c r="BN14" s="19"/>
      <c r="BO14" s="19">
        <v>175.5</v>
      </c>
      <c r="BP14" s="19">
        <v>525.7</v>
      </c>
      <c r="BQ14" s="18">
        <f>+BR14+BS14+BT14</f>
        <v>688.8</v>
      </c>
      <c r="BR14" s="19"/>
      <c r="BS14" s="19">
        <v>203.7</v>
      </c>
      <c r="BT14" s="20">
        <v>485.1</v>
      </c>
      <c r="BU14" s="18">
        <f>+BV14+BW14+BX14</f>
        <v>916</v>
      </c>
      <c r="BV14" s="19"/>
      <c r="BW14" s="19">
        <f>135.9+95+71.7+54.6+42.7</f>
        <v>399.90000000000003</v>
      </c>
      <c r="BX14" s="19">
        <f>100+75.2+71.2+70.6+69.7+66.9+62.5</f>
        <v>516.1</v>
      </c>
      <c r="BY14" s="18">
        <f>+BZ14+CA14+CB14</f>
        <v>547.4</v>
      </c>
      <c r="BZ14" s="19"/>
      <c r="CA14" s="19">
        <f>86.6+40.1</f>
        <v>126.69999999999999</v>
      </c>
      <c r="CB14" s="20">
        <f>96.6+82.4+78.4+74.7+53.5+35.1</f>
        <v>420.7</v>
      </c>
    </row>
    <row r="15" spans="2:80" ht="12.75">
      <c r="B15" s="15">
        <v>12</v>
      </c>
      <c r="C15" s="16" t="s">
        <v>17</v>
      </c>
      <c r="D15" s="17">
        <f>+E15+I15+M15+Q15+U15+Y15+AC15+AG15+AK15+AO15+AS15+AW15+BA15+BE15+BI15+BM15+BQ15+BU15+BY15</f>
        <v>12583.8</v>
      </c>
      <c r="E15" s="18">
        <f>+F15+G15+H15</f>
        <v>305.3</v>
      </c>
      <c r="F15" s="19"/>
      <c r="G15" s="19">
        <v>115.6</v>
      </c>
      <c r="H15" s="19">
        <f>69.4+69.2+51.1</f>
        <v>189.70000000000002</v>
      </c>
      <c r="I15" s="18">
        <f>+J15+K15+L15</f>
        <v>306.5</v>
      </c>
      <c r="J15" s="19"/>
      <c r="K15" s="19">
        <v>96.7</v>
      </c>
      <c r="L15" s="19">
        <f>80.5+73.5+55.8</f>
        <v>209.8</v>
      </c>
      <c r="M15" s="18">
        <f>+N15+O15+P15</f>
        <v>675.6</v>
      </c>
      <c r="N15" s="19"/>
      <c r="O15" s="19">
        <v>426.3</v>
      </c>
      <c r="P15" s="19">
        <v>249.3</v>
      </c>
      <c r="Q15" s="18">
        <f>+R15+S15+T15</f>
        <v>707</v>
      </c>
      <c r="R15" s="19"/>
      <c r="S15" s="19">
        <v>474.6</v>
      </c>
      <c r="T15" s="19">
        <v>232.4</v>
      </c>
      <c r="U15" s="18">
        <f>+V15+W15+X15</f>
        <v>597.3</v>
      </c>
      <c r="V15" s="19">
        <v>60.4</v>
      </c>
      <c r="W15" s="19">
        <v>336.4</v>
      </c>
      <c r="X15" s="19">
        <v>200.5</v>
      </c>
      <c r="Y15" s="18">
        <f>+Z15+AA15+AB15</f>
        <v>685.9</v>
      </c>
      <c r="Z15" s="19">
        <v>83</v>
      </c>
      <c r="AA15" s="19">
        <v>404.3</v>
      </c>
      <c r="AB15" s="19">
        <v>198.6</v>
      </c>
      <c r="AC15" s="18">
        <f>+AD15+AE15+AF15</f>
        <v>752</v>
      </c>
      <c r="AD15" s="19"/>
      <c r="AE15" s="19">
        <v>439.2</v>
      </c>
      <c r="AF15" s="19">
        <v>312.8</v>
      </c>
      <c r="AG15" s="18">
        <f>+AH15+AI15+AJ15</f>
        <v>796.9</v>
      </c>
      <c r="AH15" s="19"/>
      <c r="AI15" s="19">
        <v>475.7</v>
      </c>
      <c r="AJ15" s="19">
        <v>321.2</v>
      </c>
      <c r="AK15" s="18">
        <f>+AL15+AM15+AN15</f>
        <v>1117.9</v>
      </c>
      <c r="AL15" s="19">
        <v>53.6</v>
      </c>
      <c r="AM15" s="19">
        <v>572.3</v>
      </c>
      <c r="AN15" s="19">
        <v>492</v>
      </c>
      <c r="AO15" s="18">
        <f>+AP15+AQ15+AR15</f>
        <v>536.7</v>
      </c>
      <c r="AP15" s="19"/>
      <c r="AQ15" s="19">
        <v>264.6</v>
      </c>
      <c r="AR15" s="19">
        <v>272.1</v>
      </c>
      <c r="AS15" s="18">
        <f>+AT15+AU15+AV15</f>
        <v>638.5</v>
      </c>
      <c r="AT15" s="19"/>
      <c r="AU15" s="19">
        <v>345.3</v>
      </c>
      <c r="AV15" s="19">
        <v>293.2</v>
      </c>
      <c r="AW15" s="18">
        <f>+AX15+AY15+AZ15</f>
        <v>596.3</v>
      </c>
      <c r="AX15" s="19"/>
      <c r="AY15" s="19">
        <v>330.2</v>
      </c>
      <c r="AZ15" s="19">
        <v>266.1</v>
      </c>
      <c r="BA15" s="18">
        <f>+BB15+BC15+BD15</f>
        <v>750.1</v>
      </c>
      <c r="BB15" s="19"/>
      <c r="BC15" s="19">
        <v>402.8</v>
      </c>
      <c r="BD15" s="19">
        <v>347.3</v>
      </c>
      <c r="BE15" s="18">
        <f>+BF15+BG15+BH15</f>
        <v>997</v>
      </c>
      <c r="BF15" s="19"/>
      <c r="BG15" s="19">
        <v>543</v>
      </c>
      <c r="BH15" s="19">
        <v>454</v>
      </c>
      <c r="BI15" s="18">
        <f>+BJ15+BK15+BL15</f>
        <v>956</v>
      </c>
      <c r="BJ15" s="19"/>
      <c r="BK15" s="19">
        <v>487.6</v>
      </c>
      <c r="BL15" s="19">
        <v>468.4</v>
      </c>
      <c r="BM15" s="18">
        <f>+BN15+BO15+BP15</f>
        <v>692.1</v>
      </c>
      <c r="BN15" s="19"/>
      <c r="BO15" s="19">
        <v>322.6</v>
      </c>
      <c r="BP15" s="19">
        <v>369.5</v>
      </c>
      <c r="BQ15" s="18">
        <f>+BR15+BS15+BT15</f>
        <v>598.3</v>
      </c>
      <c r="BR15" s="19"/>
      <c r="BS15" s="19">
        <v>241.7</v>
      </c>
      <c r="BT15" s="20">
        <v>356.6</v>
      </c>
      <c r="BU15" s="18">
        <f>+BV15+BW15+BX15</f>
        <v>565.0999999999999</v>
      </c>
      <c r="BV15" s="19"/>
      <c r="BW15" s="19">
        <f>104.9+85.3+10</f>
        <v>200.2</v>
      </c>
      <c r="BX15" s="19">
        <f>86.3+68.9+62.7+55.6+51.4+40</f>
        <v>364.9</v>
      </c>
      <c r="BY15" s="18">
        <f>+BZ15+CA15+CB15</f>
        <v>309.3</v>
      </c>
      <c r="BZ15" s="19"/>
      <c r="CA15" s="19">
        <f>86.5+76.9+54.9</f>
        <v>218.3</v>
      </c>
      <c r="CB15" s="20">
        <f>53.9+37.1</f>
        <v>91</v>
      </c>
    </row>
    <row r="16" spans="2:80" ht="12.75">
      <c r="B16" s="15">
        <v>13</v>
      </c>
      <c r="C16" s="16" t="s">
        <v>13</v>
      </c>
      <c r="D16" s="17">
        <f t="shared" si="16"/>
        <v>12550.399999999998</v>
      </c>
      <c r="E16" s="18">
        <f>+F16+G16+H16</f>
        <v>498</v>
      </c>
      <c r="F16" s="19">
        <f>66.5+51.2</f>
        <v>117.7</v>
      </c>
      <c r="G16" s="19">
        <v>75</v>
      </c>
      <c r="H16" s="19">
        <f>77.2+61.8+48.9+54.2+63.2</f>
        <v>305.3</v>
      </c>
      <c r="I16" s="18">
        <f>+J16+K16+L16</f>
        <v>435</v>
      </c>
      <c r="J16" s="19">
        <f>72.4+70.1</f>
        <v>142.5</v>
      </c>
      <c r="K16" s="19">
        <v>50.4</v>
      </c>
      <c r="L16" s="19">
        <f>69.6+70.4+51.4+50.7</f>
        <v>242.10000000000002</v>
      </c>
      <c r="M16" s="18">
        <f>+N16+O16+P16</f>
        <v>649.3</v>
      </c>
      <c r="N16" s="19">
        <v>180.4</v>
      </c>
      <c r="O16" s="19">
        <v>50.7</v>
      </c>
      <c r="P16" s="19">
        <v>418.2</v>
      </c>
      <c r="Q16" s="18">
        <f>+R16+S16+T16</f>
        <v>627.8</v>
      </c>
      <c r="R16" s="19">
        <v>197.6</v>
      </c>
      <c r="S16" s="19">
        <v>52.4</v>
      </c>
      <c r="T16" s="19">
        <v>377.8</v>
      </c>
      <c r="U16" s="18">
        <f>+V16+W16+X16</f>
        <v>766.3</v>
      </c>
      <c r="V16" s="19">
        <v>253.4</v>
      </c>
      <c r="W16" s="19">
        <v>96.6</v>
      </c>
      <c r="X16" s="19">
        <v>416.3</v>
      </c>
      <c r="Y16" s="18">
        <f>+Z16+AA16+AB16</f>
        <v>718.7</v>
      </c>
      <c r="Z16" s="19">
        <v>208.7</v>
      </c>
      <c r="AA16" s="19">
        <v>109.4</v>
      </c>
      <c r="AB16" s="19">
        <v>400.6</v>
      </c>
      <c r="AC16" s="18">
        <f>+AD16+AE16+AF16</f>
        <v>751.5999999999999</v>
      </c>
      <c r="AD16" s="19">
        <v>293.7</v>
      </c>
      <c r="AE16" s="19"/>
      <c r="AF16" s="19">
        <v>457.9</v>
      </c>
      <c r="AG16" s="18">
        <f>+AH16+AI16+AJ16</f>
        <v>757.1</v>
      </c>
      <c r="AH16" s="19">
        <v>279.6</v>
      </c>
      <c r="AI16" s="19"/>
      <c r="AJ16" s="19">
        <v>477.5</v>
      </c>
      <c r="AK16" s="18">
        <f>+AL16+AM16+AN16</f>
        <v>795.7</v>
      </c>
      <c r="AL16" s="19">
        <v>303.1</v>
      </c>
      <c r="AM16" s="19"/>
      <c r="AN16" s="19">
        <v>492.6</v>
      </c>
      <c r="AO16" s="18">
        <f>+AP16+AQ16+AR16</f>
        <v>743.0999999999999</v>
      </c>
      <c r="AP16" s="19">
        <v>240.6</v>
      </c>
      <c r="AQ16" s="19">
        <v>53.3</v>
      </c>
      <c r="AR16" s="19">
        <v>449.2</v>
      </c>
      <c r="AS16" s="18">
        <f t="shared" si="5"/>
        <v>735.5</v>
      </c>
      <c r="AT16" s="19">
        <v>222.8</v>
      </c>
      <c r="AU16" s="19">
        <v>42</v>
      </c>
      <c r="AV16" s="19">
        <v>470.7</v>
      </c>
      <c r="AW16" s="18">
        <f t="shared" si="6"/>
        <v>562.2</v>
      </c>
      <c r="AX16" s="19">
        <v>194.1</v>
      </c>
      <c r="AY16" s="19"/>
      <c r="AZ16" s="19">
        <v>368.1</v>
      </c>
      <c r="BA16" s="18">
        <f t="shared" si="7"/>
        <v>569.5</v>
      </c>
      <c r="BB16" s="19">
        <v>204</v>
      </c>
      <c r="BC16" s="19"/>
      <c r="BD16" s="19">
        <v>365.5</v>
      </c>
      <c r="BE16" s="18">
        <f>+BF16+BG16+BH16</f>
        <v>882.5</v>
      </c>
      <c r="BF16" s="19">
        <v>338.6</v>
      </c>
      <c r="BG16" s="19">
        <v>44.1</v>
      </c>
      <c r="BH16" s="19">
        <v>499.8</v>
      </c>
      <c r="BI16" s="18">
        <f>+BJ16+BK16+BL16</f>
        <v>905.1</v>
      </c>
      <c r="BJ16" s="19">
        <v>332.7</v>
      </c>
      <c r="BK16" s="19">
        <v>48.3</v>
      </c>
      <c r="BL16" s="19">
        <v>524.1</v>
      </c>
      <c r="BM16" s="18">
        <f t="shared" si="17"/>
        <v>674.3</v>
      </c>
      <c r="BN16" s="19">
        <v>223.9</v>
      </c>
      <c r="BO16" s="19">
        <v>72</v>
      </c>
      <c r="BP16" s="19">
        <v>378.4</v>
      </c>
      <c r="BQ16" s="18">
        <f t="shared" si="18"/>
        <v>692.3</v>
      </c>
      <c r="BR16" s="19">
        <v>209.8</v>
      </c>
      <c r="BS16" s="19">
        <v>56.3</v>
      </c>
      <c r="BT16" s="20">
        <v>426.2</v>
      </c>
      <c r="BU16" s="18">
        <f t="shared" si="12"/>
        <v>568.5</v>
      </c>
      <c r="BV16" s="19">
        <f>50.2+41.5</f>
        <v>91.7</v>
      </c>
      <c r="BW16" s="19">
        <v>39.5</v>
      </c>
      <c r="BX16" s="19">
        <f>100+63.6+62.5+54.5+53+52.3+51.4</f>
        <v>437.3</v>
      </c>
      <c r="BY16" s="18">
        <f t="shared" si="13"/>
        <v>217.89999999999998</v>
      </c>
      <c r="BZ16" s="19"/>
      <c r="CA16" s="19"/>
      <c r="CB16" s="20">
        <f>69.7+46+35+34.1+33.1</f>
        <v>217.89999999999998</v>
      </c>
    </row>
    <row r="17" spans="2:80" ht="12.75">
      <c r="B17" s="15">
        <v>14</v>
      </c>
      <c r="C17" s="16" t="s">
        <v>14</v>
      </c>
      <c r="D17" s="17">
        <f t="shared" si="16"/>
        <v>11943.699999999997</v>
      </c>
      <c r="E17" s="18"/>
      <c r="F17" s="19"/>
      <c r="G17" s="19"/>
      <c r="H17" s="19"/>
      <c r="I17" s="18"/>
      <c r="J17" s="19"/>
      <c r="K17" s="19"/>
      <c r="L17" s="19"/>
      <c r="M17" s="18">
        <f>+N17+O17+P17</f>
        <v>630.1</v>
      </c>
      <c r="N17" s="19">
        <v>130.9</v>
      </c>
      <c r="O17" s="19">
        <v>200.4</v>
      </c>
      <c r="P17" s="19">
        <v>298.8</v>
      </c>
      <c r="Q17" s="18">
        <f>+R17+S17+T17</f>
        <v>707.5</v>
      </c>
      <c r="R17" s="19">
        <v>143.4</v>
      </c>
      <c r="S17" s="19">
        <v>228.4</v>
      </c>
      <c r="T17" s="19">
        <v>335.7</v>
      </c>
      <c r="U17" s="18">
        <f>+V17+W17+X17</f>
        <v>660.6</v>
      </c>
      <c r="V17" s="19">
        <v>88.4</v>
      </c>
      <c r="W17" s="19">
        <v>245.1</v>
      </c>
      <c r="X17" s="19">
        <v>327.1</v>
      </c>
      <c r="Y17" s="18">
        <f>+Z17+AA17+AB17</f>
        <v>716.2</v>
      </c>
      <c r="Z17" s="19">
        <v>95.5</v>
      </c>
      <c r="AA17" s="19">
        <v>243.1</v>
      </c>
      <c r="AB17" s="19">
        <v>377.6</v>
      </c>
      <c r="AC17" s="18">
        <f>+AD17+AE17+AF17</f>
        <v>837.8</v>
      </c>
      <c r="AD17" s="19">
        <v>120.9</v>
      </c>
      <c r="AE17" s="19">
        <v>215.4</v>
      </c>
      <c r="AF17" s="19">
        <v>501.5</v>
      </c>
      <c r="AG17" s="18">
        <f>+AH17+AI17+AJ17</f>
        <v>866.4</v>
      </c>
      <c r="AH17" s="19">
        <v>130.9</v>
      </c>
      <c r="AI17" s="19">
        <v>292.6</v>
      </c>
      <c r="AJ17" s="19">
        <v>442.9</v>
      </c>
      <c r="AK17" s="18">
        <f>+AL17+AM17+AN17</f>
        <v>791</v>
      </c>
      <c r="AL17" s="19">
        <v>136.7</v>
      </c>
      <c r="AM17" s="19">
        <v>326.9</v>
      </c>
      <c r="AN17" s="19">
        <v>327.4</v>
      </c>
      <c r="AO17" s="18">
        <f>+AP17+AQ17+AR17</f>
        <v>714.4</v>
      </c>
      <c r="AP17" s="19">
        <v>111.9</v>
      </c>
      <c r="AQ17" s="19">
        <v>259.1</v>
      </c>
      <c r="AR17" s="19">
        <v>343.4</v>
      </c>
      <c r="AS17" s="18">
        <f t="shared" si="5"/>
        <v>663.7</v>
      </c>
      <c r="AT17" s="19">
        <v>133.8</v>
      </c>
      <c r="AU17" s="19">
        <v>265.2</v>
      </c>
      <c r="AV17" s="19">
        <v>264.7</v>
      </c>
      <c r="AW17" s="18">
        <f t="shared" si="6"/>
        <v>612.9</v>
      </c>
      <c r="AX17" s="19">
        <v>129.7</v>
      </c>
      <c r="AY17" s="19">
        <v>177</v>
      </c>
      <c r="AZ17" s="19">
        <v>306.2</v>
      </c>
      <c r="BA17" s="18">
        <f t="shared" si="7"/>
        <v>578.4</v>
      </c>
      <c r="BB17" s="19">
        <v>70.2</v>
      </c>
      <c r="BC17" s="19">
        <v>253.6</v>
      </c>
      <c r="BD17" s="19">
        <v>254.6</v>
      </c>
      <c r="BE17" s="18">
        <f>+BF17+BG17+BH17</f>
        <v>698.8</v>
      </c>
      <c r="BF17" s="19">
        <v>141.7</v>
      </c>
      <c r="BG17" s="19">
        <v>253.9</v>
      </c>
      <c r="BH17" s="19">
        <v>303.2</v>
      </c>
      <c r="BI17" s="18">
        <f>+BJ17+BK17+BL17</f>
        <v>726</v>
      </c>
      <c r="BJ17" s="19">
        <v>166.3</v>
      </c>
      <c r="BK17" s="19">
        <v>251.5</v>
      </c>
      <c r="BL17" s="19">
        <v>308.2</v>
      </c>
      <c r="BM17" s="18">
        <f t="shared" si="17"/>
        <v>862.4</v>
      </c>
      <c r="BN17" s="19">
        <v>146.5</v>
      </c>
      <c r="BO17" s="19">
        <v>373.9</v>
      </c>
      <c r="BP17" s="19">
        <v>342</v>
      </c>
      <c r="BQ17" s="18">
        <f t="shared" si="18"/>
        <v>757.1</v>
      </c>
      <c r="BR17" s="19">
        <v>140.9</v>
      </c>
      <c r="BS17" s="19">
        <v>302.6</v>
      </c>
      <c r="BT17" s="20">
        <v>313.6</v>
      </c>
      <c r="BU17" s="18">
        <f t="shared" si="12"/>
        <v>687.6</v>
      </c>
      <c r="BV17" s="19">
        <f>82.1+54.8</f>
        <v>136.89999999999998</v>
      </c>
      <c r="BW17" s="19">
        <f>108.6+85.2+61.9</f>
        <v>255.70000000000002</v>
      </c>
      <c r="BX17" s="19">
        <f>86.6+81.5+80.5+46.4</f>
        <v>295</v>
      </c>
      <c r="BY17" s="18">
        <f t="shared" si="13"/>
        <v>432.8</v>
      </c>
      <c r="BZ17" s="19">
        <f>75.2+24</f>
        <v>99.2</v>
      </c>
      <c r="CA17" s="19">
        <f>75.4+58.8+47.4</f>
        <v>181.6</v>
      </c>
      <c r="CB17" s="20">
        <f>60+50.6+41.4</f>
        <v>152</v>
      </c>
    </row>
    <row r="18" spans="2:80" ht="12.75">
      <c r="B18" s="15">
        <v>15</v>
      </c>
      <c r="C18" s="16" t="s">
        <v>11</v>
      </c>
      <c r="D18" s="17">
        <f t="shared" si="16"/>
        <v>11506.500000000002</v>
      </c>
      <c r="E18" s="18"/>
      <c r="F18" s="19"/>
      <c r="G18" s="19"/>
      <c r="H18" s="19"/>
      <c r="I18" s="18"/>
      <c r="J18" s="19"/>
      <c r="K18" s="19"/>
      <c r="L18" s="19"/>
      <c r="M18" s="18">
        <f t="shared" si="14"/>
        <v>870</v>
      </c>
      <c r="N18" s="19">
        <v>389</v>
      </c>
      <c r="O18" s="19">
        <v>118.7</v>
      </c>
      <c r="P18" s="19">
        <v>362.3</v>
      </c>
      <c r="Q18" s="18">
        <f t="shared" si="15"/>
        <v>891.3</v>
      </c>
      <c r="R18" s="19">
        <v>400.1</v>
      </c>
      <c r="S18" s="19">
        <v>116.4</v>
      </c>
      <c r="T18" s="19">
        <v>374.8</v>
      </c>
      <c r="U18" s="18">
        <f>+V18+W18+X18</f>
        <v>1099.5</v>
      </c>
      <c r="V18" s="19">
        <v>486.3</v>
      </c>
      <c r="W18" s="19">
        <v>133.9</v>
      </c>
      <c r="X18" s="19">
        <v>479.3</v>
      </c>
      <c r="Y18" s="18">
        <f>+Z18+AA18+AB18</f>
        <v>1070.6</v>
      </c>
      <c r="Z18" s="19">
        <v>550.1</v>
      </c>
      <c r="AA18" s="19">
        <v>126.6</v>
      </c>
      <c r="AB18" s="19">
        <v>393.9</v>
      </c>
      <c r="AC18" s="18">
        <f t="shared" si="2"/>
        <v>516</v>
      </c>
      <c r="AD18" s="19">
        <v>258.7</v>
      </c>
      <c r="AE18" s="19"/>
      <c r="AF18" s="19">
        <v>257.3</v>
      </c>
      <c r="AG18" s="18">
        <f t="shared" si="3"/>
        <v>520.8</v>
      </c>
      <c r="AH18" s="19">
        <v>276.2</v>
      </c>
      <c r="AI18" s="19"/>
      <c r="AJ18" s="19">
        <v>244.6</v>
      </c>
      <c r="AK18" s="18">
        <f t="shared" si="4"/>
        <v>869.2</v>
      </c>
      <c r="AL18" s="19">
        <v>345.4</v>
      </c>
      <c r="AM18" s="19">
        <v>70.7</v>
      </c>
      <c r="AN18" s="19">
        <v>453.1</v>
      </c>
      <c r="AO18" s="18">
        <f>+AP18+AQ18+AR18</f>
        <v>741</v>
      </c>
      <c r="AP18" s="19">
        <v>253</v>
      </c>
      <c r="AQ18" s="19">
        <v>133.7</v>
      </c>
      <c r="AR18" s="19">
        <v>354.3</v>
      </c>
      <c r="AS18" s="18">
        <f t="shared" si="5"/>
        <v>571</v>
      </c>
      <c r="AT18" s="19">
        <v>255.3</v>
      </c>
      <c r="AU18" s="19">
        <v>55.8</v>
      </c>
      <c r="AV18" s="19">
        <v>259.9</v>
      </c>
      <c r="AW18" s="18">
        <f t="shared" si="6"/>
        <v>442.5</v>
      </c>
      <c r="AX18" s="19">
        <v>240</v>
      </c>
      <c r="AY18" s="19"/>
      <c r="AZ18" s="19">
        <v>202.5</v>
      </c>
      <c r="BA18" s="18">
        <f t="shared" si="7"/>
        <v>565.3</v>
      </c>
      <c r="BB18" s="19">
        <v>257.8</v>
      </c>
      <c r="BC18" s="19">
        <v>69.5</v>
      </c>
      <c r="BD18" s="19">
        <v>238</v>
      </c>
      <c r="BE18" s="18">
        <f t="shared" si="19"/>
        <v>593.4</v>
      </c>
      <c r="BF18" s="19">
        <v>314.7</v>
      </c>
      <c r="BG18" s="19"/>
      <c r="BH18" s="19">
        <v>278.7</v>
      </c>
      <c r="BI18" s="18">
        <f t="shared" si="20"/>
        <v>545.6</v>
      </c>
      <c r="BJ18" s="19">
        <v>312.3</v>
      </c>
      <c r="BK18" s="19"/>
      <c r="BL18" s="19">
        <v>233.3</v>
      </c>
      <c r="BM18" s="18">
        <f aca="true" t="shared" si="21" ref="BM18:BM46">+BN18+BO18+BP18</f>
        <v>719.5</v>
      </c>
      <c r="BN18" s="19">
        <v>251.8</v>
      </c>
      <c r="BO18" s="19">
        <v>59.3</v>
      </c>
      <c r="BP18" s="19">
        <v>408.4</v>
      </c>
      <c r="BQ18" s="18">
        <f aca="true" t="shared" si="22" ref="BQ18:BQ47">+BR18+BS18+BT18</f>
        <v>716.6999999999999</v>
      </c>
      <c r="BR18" s="19">
        <v>311.7</v>
      </c>
      <c r="BS18" s="19">
        <v>72.1</v>
      </c>
      <c r="BT18" s="20">
        <v>332.9</v>
      </c>
      <c r="BU18" s="18">
        <f t="shared" si="12"/>
        <v>477.70000000000005</v>
      </c>
      <c r="BV18" s="19">
        <f>61.6+53.4+52.5+10</f>
        <v>177.5</v>
      </c>
      <c r="BW18" s="19"/>
      <c r="BX18" s="19">
        <f>76.4+63+62.2+57.8+40.8</f>
        <v>300.20000000000005</v>
      </c>
      <c r="BY18" s="18">
        <f t="shared" si="13"/>
        <v>296.4</v>
      </c>
      <c r="BZ18" s="19">
        <f>62.1+42</f>
        <v>104.1</v>
      </c>
      <c r="CA18" s="19"/>
      <c r="CB18" s="20">
        <f>59.7+47.5+47+38.1</f>
        <v>192.29999999999998</v>
      </c>
    </row>
    <row r="19" spans="2:80" ht="12.75">
      <c r="B19" s="15">
        <v>16</v>
      </c>
      <c r="C19" s="16" t="s">
        <v>16</v>
      </c>
      <c r="D19" s="17">
        <f t="shared" si="16"/>
        <v>9468.7</v>
      </c>
      <c r="E19" s="18">
        <f>+F19+G19+H19</f>
        <v>438.1</v>
      </c>
      <c r="F19" s="19">
        <f>84.4+10</f>
        <v>94.4</v>
      </c>
      <c r="G19" s="19">
        <v>68.7</v>
      </c>
      <c r="H19" s="19">
        <f>63.4+56+74.6+81</f>
        <v>275</v>
      </c>
      <c r="I19" s="18">
        <f>+J19+K19+L19</f>
        <v>519.2</v>
      </c>
      <c r="J19" s="19">
        <f>97+91.7</f>
        <v>188.7</v>
      </c>
      <c r="K19" s="19">
        <v>57.3</v>
      </c>
      <c r="L19" s="19">
        <f>56.9+44.9+89.4+82</f>
        <v>273.2</v>
      </c>
      <c r="M19" s="18">
        <f t="shared" si="14"/>
        <v>662.4</v>
      </c>
      <c r="N19" s="19">
        <v>151.6</v>
      </c>
      <c r="O19" s="19">
        <v>159.6</v>
      </c>
      <c r="P19" s="19">
        <v>351.2</v>
      </c>
      <c r="Q19" s="18">
        <f t="shared" si="15"/>
        <v>650</v>
      </c>
      <c r="R19" s="19">
        <v>161.5</v>
      </c>
      <c r="S19" s="19">
        <v>157.6</v>
      </c>
      <c r="T19" s="19">
        <v>330.9</v>
      </c>
      <c r="U19" s="18">
        <f>+V19+W19+X19</f>
        <v>662.9</v>
      </c>
      <c r="V19" s="19">
        <v>191.8</v>
      </c>
      <c r="W19" s="19">
        <v>140.2</v>
      </c>
      <c r="X19" s="19">
        <v>330.9</v>
      </c>
      <c r="Y19" s="18">
        <f>+Z19+AA19+AB19</f>
        <v>633.3</v>
      </c>
      <c r="Z19" s="19">
        <v>157.6</v>
      </c>
      <c r="AA19" s="19">
        <v>163.4</v>
      </c>
      <c r="AB19" s="19">
        <v>312.3</v>
      </c>
      <c r="AC19" s="18">
        <f t="shared" si="2"/>
        <v>448.1</v>
      </c>
      <c r="AD19" s="19">
        <v>78.4</v>
      </c>
      <c r="AE19" s="19">
        <v>138.6</v>
      </c>
      <c r="AF19" s="19">
        <v>231.1</v>
      </c>
      <c r="AG19" s="18">
        <f t="shared" si="3"/>
        <v>569.5</v>
      </c>
      <c r="AH19" s="19">
        <v>10</v>
      </c>
      <c r="AI19" s="19">
        <v>224.6</v>
      </c>
      <c r="AJ19" s="19">
        <v>334.9</v>
      </c>
      <c r="AK19" s="18">
        <f t="shared" si="4"/>
        <v>500.8</v>
      </c>
      <c r="AL19" s="19"/>
      <c r="AM19" s="19">
        <v>101.2</v>
      </c>
      <c r="AN19" s="19">
        <v>399.6</v>
      </c>
      <c r="AO19" s="18">
        <f>+AP19+AQ19+AR19</f>
        <v>664.2</v>
      </c>
      <c r="AP19" s="19">
        <v>141.1</v>
      </c>
      <c r="AQ19" s="19">
        <v>170.3</v>
      </c>
      <c r="AR19" s="19">
        <v>352.8</v>
      </c>
      <c r="AS19" s="18">
        <f t="shared" si="5"/>
        <v>579.8</v>
      </c>
      <c r="AT19" s="19">
        <v>88.7</v>
      </c>
      <c r="AU19" s="19">
        <v>160.9</v>
      </c>
      <c r="AV19" s="19">
        <v>330.2</v>
      </c>
      <c r="AW19" s="18">
        <f t="shared" si="6"/>
        <v>477.2</v>
      </c>
      <c r="AX19" s="19">
        <v>105</v>
      </c>
      <c r="AY19" s="19">
        <v>79</v>
      </c>
      <c r="AZ19" s="19">
        <v>293.2</v>
      </c>
      <c r="BA19" s="18">
        <f t="shared" si="7"/>
        <v>525.9</v>
      </c>
      <c r="BB19" s="19">
        <v>90.6</v>
      </c>
      <c r="BC19" s="19">
        <v>129.8</v>
      </c>
      <c r="BD19" s="19">
        <v>305.5</v>
      </c>
      <c r="BE19" s="18">
        <f t="shared" si="19"/>
        <v>545.8</v>
      </c>
      <c r="BF19" s="19">
        <v>171.4</v>
      </c>
      <c r="BG19" s="19">
        <v>61.9</v>
      </c>
      <c r="BH19" s="19">
        <v>312.5</v>
      </c>
      <c r="BI19" s="18">
        <f t="shared" si="20"/>
        <v>435.5</v>
      </c>
      <c r="BJ19" s="19">
        <v>130.5</v>
      </c>
      <c r="BK19" s="19">
        <v>52.4</v>
      </c>
      <c r="BL19" s="19">
        <v>252.6</v>
      </c>
      <c r="BM19" s="18">
        <f t="shared" si="21"/>
        <v>472.7</v>
      </c>
      <c r="BN19" s="19">
        <v>147.7</v>
      </c>
      <c r="BO19" s="19">
        <v>70.9</v>
      </c>
      <c r="BP19" s="19">
        <v>254.1</v>
      </c>
      <c r="BQ19" s="18">
        <f t="shared" si="22"/>
        <v>487.8</v>
      </c>
      <c r="BR19" s="19">
        <v>170</v>
      </c>
      <c r="BS19" s="19">
        <v>10</v>
      </c>
      <c r="BT19" s="20">
        <v>307.8</v>
      </c>
      <c r="BU19" s="18">
        <f t="shared" si="12"/>
        <v>175.5</v>
      </c>
      <c r="BV19" s="19"/>
      <c r="BW19" s="19">
        <v>59.7</v>
      </c>
      <c r="BX19" s="19">
        <f>60.5+55.3</f>
        <v>115.8</v>
      </c>
      <c r="BY19" s="18">
        <f t="shared" si="13"/>
        <v>20</v>
      </c>
      <c r="BZ19" s="19"/>
      <c r="CA19" s="19">
        <v>10</v>
      </c>
      <c r="CB19" s="20">
        <v>10</v>
      </c>
    </row>
    <row r="20" spans="2:80" ht="12.75">
      <c r="B20" s="15">
        <v>17</v>
      </c>
      <c r="C20" s="16" t="s">
        <v>19</v>
      </c>
      <c r="D20" s="17">
        <f>+E20+I20+M20+Q20+U20+Y20+AC20+AG20+AK20+AO20+AS20+AW20+BA20+BE20+BI20+BM20+BQ20+BU20+BY20</f>
        <v>8930</v>
      </c>
      <c r="E20" s="18">
        <f>+F20+G20+H20</f>
        <v>553.4</v>
      </c>
      <c r="F20" s="19"/>
      <c r="G20" s="19">
        <f>92.9+90.1+81.3+120.3+105.9+62.9</f>
        <v>553.4</v>
      </c>
      <c r="H20" s="19"/>
      <c r="I20" s="18">
        <f>+J20+K20+L20</f>
        <v>499.09999999999997</v>
      </c>
      <c r="J20" s="19"/>
      <c r="K20" s="19">
        <f>83.5+80.1+71.9+114.4+96.8+52.4</f>
        <v>499.09999999999997</v>
      </c>
      <c r="L20" s="19"/>
      <c r="M20" s="18">
        <f>+N20+O20+P20</f>
        <v>386.7</v>
      </c>
      <c r="N20" s="19">
        <v>75</v>
      </c>
      <c r="O20" s="19">
        <v>311.7</v>
      </c>
      <c r="P20" s="19"/>
      <c r="Q20" s="18">
        <f>+R20+S20+T20</f>
        <v>312.59999999999997</v>
      </c>
      <c r="R20" s="19">
        <v>56.9</v>
      </c>
      <c r="S20" s="19">
        <v>255.7</v>
      </c>
      <c r="T20" s="19"/>
      <c r="U20" s="18">
        <f>+V20+W20+X20</f>
        <v>539.8</v>
      </c>
      <c r="V20" s="19">
        <v>67.1</v>
      </c>
      <c r="W20" s="19">
        <v>472.7</v>
      </c>
      <c r="X20" s="19"/>
      <c r="Y20" s="18">
        <f>+Z20+AA20+AB20</f>
        <v>587.8000000000001</v>
      </c>
      <c r="Z20" s="19">
        <v>64.6</v>
      </c>
      <c r="AA20" s="19">
        <v>523.2</v>
      </c>
      <c r="AB20" s="19"/>
      <c r="AC20" s="18">
        <f>+AD20+AE20+AF20</f>
        <v>499.59999999999997</v>
      </c>
      <c r="AD20" s="19">
        <v>54.4</v>
      </c>
      <c r="AE20" s="19">
        <v>341.5</v>
      </c>
      <c r="AF20" s="19">
        <v>103.7</v>
      </c>
      <c r="AG20" s="18">
        <f>+AH20+AI20+AJ20</f>
        <v>572</v>
      </c>
      <c r="AH20" s="19">
        <v>65.5</v>
      </c>
      <c r="AI20" s="19">
        <v>407.6</v>
      </c>
      <c r="AJ20" s="19">
        <v>98.9</v>
      </c>
      <c r="AK20" s="18">
        <f>+AL20+AM20+AN20</f>
        <v>407.9</v>
      </c>
      <c r="AL20" s="19">
        <v>72</v>
      </c>
      <c r="AM20" s="19">
        <v>335.9</v>
      </c>
      <c r="AN20" s="19"/>
      <c r="AO20" s="18">
        <f>+AP20+AQ20+AR20</f>
        <v>451.80000000000007</v>
      </c>
      <c r="AP20" s="19">
        <v>84.9</v>
      </c>
      <c r="AQ20" s="19">
        <v>288.8</v>
      </c>
      <c r="AR20" s="19">
        <v>78.1</v>
      </c>
      <c r="AS20" s="18">
        <f>+AT20+AU20+AV20</f>
        <v>483</v>
      </c>
      <c r="AT20" s="19">
        <v>67.3</v>
      </c>
      <c r="AU20" s="19">
        <v>308.8</v>
      </c>
      <c r="AV20" s="19">
        <v>106.9</v>
      </c>
      <c r="AW20" s="18">
        <f>+AX20+AY20+AZ20</f>
        <v>413.6</v>
      </c>
      <c r="AX20" s="19">
        <v>62.1</v>
      </c>
      <c r="AY20" s="19">
        <v>241.9</v>
      </c>
      <c r="AZ20" s="19">
        <v>109.6</v>
      </c>
      <c r="BA20" s="18">
        <f>+BB20+BC20+BD20</f>
        <v>356.20000000000005</v>
      </c>
      <c r="BB20" s="19">
        <v>46.5</v>
      </c>
      <c r="BC20" s="19">
        <v>229.1</v>
      </c>
      <c r="BD20" s="19">
        <v>80.6</v>
      </c>
      <c r="BE20" s="18">
        <f>+BF20+BG20+BH20</f>
        <v>480.59999999999997</v>
      </c>
      <c r="BF20" s="19">
        <v>56.5</v>
      </c>
      <c r="BG20" s="19">
        <v>383.2</v>
      </c>
      <c r="BH20" s="19">
        <v>40.9</v>
      </c>
      <c r="BI20" s="18">
        <f>+BJ20+BK20+BL20</f>
        <v>501.8</v>
      </c>
      <c r="BJ20" s="19">
        <v>65</v>
      </c>
      <c r="BK20" s="19">
        <v>395</v>
      </c>
      <c r="BL20" s="19">
        <v>41.8</v>
      </c>
      <c r="BM20" s="18">
        <f>+BN20+BO20+BP20</f>
        <v>646.8</v>
      </c>
      <c r="BN20" s="19">
        <v>75</v>
      </c>
      <c r="BO20" s="19">
        <v>333.5</v>
      </c>
      <c r="BP20" s="19">
        <v>238.3</v>
      </c>
      <c r="BQ20" s="18">
        <f>+BR20+BS20+BT20</f>
        <v>500.9</v>
      </c>
      <c r="BR20" s="19">
        <v>67.6</v>
      </c>
      <c r="BS20" s="19">
        <v>245.3</v>
      </c>
      <c r="BT20" s="20">
        <v>188</v>
      </c>
      <c r="BU20" s="18">
        <f>+BV20+BW20+BX20</f>
        <v>438.1</v>
      </c>
      <c r="BV20" s="19">
        <v>75</v>
      </c>
      <c r="BW20" s="19">
        <f>95.1+83.5+77.3+29.8</f>
        <v>285.7</v>
      </c>
      <c r="BX20" s="19">
        <v>77.4</v>
      </c>
      <c r="BY20" s="18">
        <f>+BZ20+CA20+CB20</f>
        <v>298.3</v>
      </c>
      <c r="BZ20" s="19"/>
      <c r="CA20" s="19">
        <f>84.2+70.7+51.4+44</f>
        <v>250.3</v>
      </c>
      <c r="CB20" s="20">
        <v>48</v>
      </c>
    </row>
    <row r="21" spans="2:80" ht="12.75">
      <c r="B21" s="15">
        <v>18</v>
      </c>
      <c r="C21" s="16" t="s">
        <v>20</v>
      </c>
      <c r="D21" s="17">
        <f t="shared" si="16"/>
        <v>8918.8</v>
      </c>
      <c r="E21" s="18">
        <f>+F21+G21+H21</f>
        <v>153.89999999999998</v>
      </c>
      <c r="F21" s="19"/>
      <c r="G21" s="19"/>
      <c r="H21" s="19">
        <f>69.6+84.3</f>
        <v>153.89999999999998</v>
      </c>
      <c r="I21" s="18">
        <f>+J21+K21+L21</f>
        <v>148.7</v>
      </c>
      <c r="J21" s="19"/>
      <c r="K21" s="19"/>
      <c r="L21" s="19">
        <f>48.7+100</f>
        <v>148.7</v>
      </c>
      <c r="M21" s="18">
        <f t="shared" si="14"/>
        <v>377</v>
      </c>
      <c r="N21" s="19"/>
      <c r="O21" s="19"/>
      <c r="P21" s="19">
        <v>377</v>
      </c>
      <c r="Q21" s="18">
        <f t="shared" si="15"/>
        <v>390.4</v>
      </c>
      <c r="R21" s="19"/>
      <c r="S21" s="19"/>
      <c r="T21" s="19">
        <v>390.4</v>
      </c>
      <c r="U21" s="18">
        <f>+V21+W21+X21</f>
        <v>417.9</v>
      </c>
      <c r="V21" s="19"/>
      <c r="W21" s="19"/>
      <c r="X21" s="19">
        <v>417.9</v>
      </c>
      <c r="Y21" s="18">
        <f>+Z21+AA21+AB21</f>
        <v>390.5</v>
      </c>
      <c r="Z21" s="19"/>
      <c r="AA21" s="19"/>
      <c r="AB21" s="19">
        <v>390.5</v>
      </c>
      <c r="AC21" s="18">
        <f t="shared" si="2"/>
        <v>620.5</v>
      </c>
      <c r="AD21" s="19"/>
      <c r="AE21" s="19">
        <v>68.2</v>
      </c>
      <c r="AF21" s="19">
        <v>552.3</v>
      </c>
      <c r="AG21" s="18">
        <f t="shared" si="3"/>
        <v>661.5</v>
      </c>
      <c r="AH21" s="19"/>
      <c r="AI21" s="19">
        <v>90.1</v>
      </c>
      <c r="AJ21" s="19">
        <v>571.4</v>
      </c>
      <c r="AK21" s="18">
        <f t="shared" si="4"/>
        <v>772.4000000000001</v>
      </c>
      <c r="AL21" s="19"/>
      <c r="AM21" s="19">
        <v>249.2</v>
      </c>
      <c r="AN21" s="19">
        <v>523.2</v>
      </c>
      <c r="AO21" s="18">
        <f>+AP21+AQ21+AR21</f>
        <v>571.8</v>
      </c>
      <c r="AP21" s="19">
        <v>66.5</v>
      </c>
      <c r="AQ21" s="19"/>
      <c r="AR21" s="19">
        <v>505.3</v>
      </c>
      <c r="AS21" s="18">
        <f t="shared" si="5"/>
        <v>655.6</v>
      </c>
      <c r="AT21" s="19">
        <v>61.3</v>
      </c>
      <c r="AU21" s="19">
        <v>167.2</v>
      </c>
      <c r="AV21" s="19">
        <v>427.1</v>
      </c>
      <c r="AW21" s="18">
        <f t="shared" si="6"/>
        <v>423.09999999999997</v>
      </c>
      <c r="AX21" s="19"/>
      <c r="AY21" s="19">
        <v>145.2</v>
      </c>
      <c r="AZ21" s="19">
        <v>277.9</v>
      </c>
      <c r="BA21" s="18">
        <f t="shared" si="7"/>
        <v>516.2</v>
      </c>
      <c r="BB21" s="19"/>
      <c r="BC21" s="19">
        <v>105.1</v>
      </c>
      <c r="BD21" s="19">
        <v>411.1</v>
      </c>
      <c r="BE21" s="18">
        <f aca="true" t="shared" si="23" ref="BE21:BE42">+BF21+BG21+BH21</f>
        <v>426.5</v>
      </c>
      <c r="BF21" s="19"/>
      <c r="BG21" s="19">
        <v>186.3</v>
      </c>
      <c r="BH21" s="19">
        <v>240.2</v>
      </c>
      <c r="BI21" s="18">
        <f aca="true" t="shared" si="24" ref="BI21:BI36">+BJ21+BK21+BL21</f>
        <v>577.7</v>
      </c>
      <c r="BJ21" s="19"/>
      <c r="BK21" s="19">
        <v>189.4</v>
      </c>
      <c r="BL21" s="19">
        <v>388.3</v>
      </c>
      <c r="BM21" s="18">
        <f t="shared" si="21"/>
        <v>580.9</v>
      </c>
      <c r="BN21" s="19"/>
      <c r="BO21" s="19">
        <v>290.5</v>
      </c>
      <c r="BP21" s="19">
        <v>290.4</v>
      </c>
      <c r="BQ21" s="18">
        <f t="shared" si="22"/>
        <v>564.9</v>
      </c>
      <c r="BR21" s="19"/>
      <c r="BS21" s="19">
        <v>264.4</v>
      </c>
      <c r="BT21" s="20">
        <v>300.5</v>
      </c>
      <c r="BU21" s="18">
        <f t="shared" si="12"/>
        <v>494.90000000000003</v>
      </c>
      <c r="BV21" s="19"/>
      <c r="BW21" s="19">
        <v>65.5</v>
      </c>
      <c r="BX21" s="19">
        <f>100+100+63+62+49.6+44.8+10</f>
        <v>429.40000000000003</v>
      </c>
      <c r="BY21" s="18">
        <f t="shared" si="13"/>
        <v>174.39999999999998</v>
      </c>
      <c r="BZ21" s="19"/>
      <c r="CA21" s="19">
        <v>32.2</v>
      </c>
      <c r="CB21" s="20">
        <f>81.7+60.5</f>
        <v>142.2</v>
      </c>
    </row>
    <row r="22" spans="2:80" ht="12.75">
      <c r="B22" s="15">
        <v>19</v>
      </c>
      <c r="C22" s="16" t="s">
        <v>24</v>
      </c>
      <c r="D22" s="17">
        <f t="shared" si="16"/>
        <v>8749.9</v>
      </c>
      <c r="E22" s="18"/>
      <c r="F22" s="19"/>
      <c r="G22" s="19"/>
      <c r="H22" s="19"/>
      <c r="I22" s="18"/>
      <c r="J22" s="19"/>
      <c r="K22" s="19"/>
      <c r="L22" s="19"/>
      <c r="M22" s="18">
        <f t="shared" si="14"/>
        <v>403.7</v>
      </c>
      <c r="N22" s="19"/>
      <c r="O22" s="19">
        <v>340.3</v>
      </c>
      <c r="P22" s="19">
        <v>63.4</v>
      </c>
      <c r="Q22" s="18">
        <f t="shared" si="15"/>
        <v>363</v>
      </c>
      <c r="R22" s="19"/>
      <c r="S22" s="19">
        <v>363</v>
      </c>
      <c r="T22" s="19"/>
      <c r="U22" s="18">
        <f>+V22+W22+X22</f>
        <v>261.6</v>
      </c>
      <c r="V22" s="19"/>
      <c r="W22" s="19">
        <v>261.6</v>
      </c>
      <c r="X22" s="19"/>
      <c r="Y22" s="18">
        <f>+Z22+AA22+AB22</f>
        <v>261.7</v>
      </c>
      <c r="Z22" s="19"/>
      <c r="AA22" s="19">
        <v>261.7</v>
      </c>
      <c r="AB22" s="19"/>
      <c r="AC22" s="18">
        <f t="shared" si="2"/>
        <v>931.3000000000001</v>
      </c>
      <c r="AD22" s="19">
        <v>84.7</v>
      </c>
      <c r="AE22" s="19">
        <v>443</v>
      </c>
      <c r="AF22" s="19">
        <v>403.6</v>
      </c>
      <c r="AG22" s="18">
        <f t="shared" si="3"/>
        <v>753.6</v>
      </c>
      <c r="AH22" s="19">
        <v>90</v>
      </c>
      <c r="AI22" s="19">
        <v>396.1</v>
      </c>
      <c r="AJ22" s="19">
        <v>267.5</v>
      </c>
      <c r="AK22" s="18">
        <f t="shared" si="4"/>
        <v>528.4</v>
      </c>
      <c r="AL22" s="19"/>
      <c r="AM22" s="19">
        <v>528.4</v>
      </c>
      <c r="AN22" s="19"/>
      <c r="AO22" s="18">
        <f>+AP22+AQ22+AR22</f>
        <v>459.4</v>
      </c>
      <c r="AP22" s="19"/>
      <c r="AQ22" s="19">
        <v>395.3</v>
      </c>
      <c r="AR22" s="19">
        <v>64.1</v>
      </c>
      <c r="AS22" s="18">
        <f t="shared" si="5"/>
        <v>518.4</v>
      </c>
      <c r="AT22" s="19"/>
      <c r="AU22" s="19">
        <v>460.9</v>
      </c>
      <c r="AV22" s="19">
        <v>57.5</v>
      </c>
      <c r="AW22" s="18">
        <f t="shared" si="6"/>
        <v>353.6</v>
      </c>
      <c r="AX22" s="19"/>
      <c r="AY22" s="19">
        <v>353.6</v>
      </c>
      <c r="AZ22" s="19"/>
      <c r="BA22" s="18">
        <f t="shared" si="7"/>
        <v>492.2</v>
      </c>
      <c r="BB22" s="19"/>
      <c r="BC22" s="19">
        <v>492.2</v>
      </c>
      <c r="BD22" s="19"/>
      <c r="BE22" s="18">
        <f t="shared" si="23"/>
        <v>685.5999999999999</v>
      </c>
      <c r="BF22" s="19">
        <v>64.3</v>
      </c>
      <c r="BG22" s="19">
        <v>477.4</v>
      </c>
      <c r="BH22" s="19">
        <v>143.9</v>
      </c>
      <c r="BI22" s="18">
        <f t="shared" si="24"/>
        <v>781.7</v>
      </c>
      <c r="BJ22" s="19">
        <v>66.7</v>
      </c>
      <c r="BK22" s="19">
        <v>553.1</v>
      </c>
      <c r="BL22" s="19">
        <v>161.9</v>
      </c>
      <c r="BM22" s="18">
        <f t="shared" si="21"/>
        <v>658.8</v>
      </c>
      <c r="BN22" s="19">
        <v>117.6</v>
      </c>
      <c r="BO22" s="19">
        <v>398.5</v>
      </c>
      <c r="BP22" s="19">
        <v>142.7</v>
      </c>
      <c r="BQ22" s="18">
        <f t="shared" si="22"/>
        <v>604</v>
      </c>
      <c r="BR22" s="19">
        <v>56.6</v>
      </c>
      <c r="BS22" s="19">
        <v>351.5</v>
      </c>
      <c r="BT22" s="20">
        <v>195.9</v>
      </c>
      <c r="BU22" s="18">
        <f t="shared" si="12"/>
        <v>392.49999999999994</v>
      </c>
      <c r="BV22" s="19"/>
      <c r="BW22" s="19">
        <f>100+93.9+88.5+56.4+53.7</f>
        <v>392.49999999999994</v>
      </c>
      <c r="BX22" s="19"/>
      <c r="BY22" s="18">
        <f t="shared" si="13"/>
        <v>300.4</v>
      </c>
      <c r="BZ22" s="19"/>
      <c r="CA22" s="19">
        <f>84.6+77.3+71.5+38.4+28.6</f>
        <v>300.4</v>
      </c>
      <c r="CB22" s="20"/>
    </row>
    <row r="23" spans="2:80" ht="12.75">
      <c r="B23" s="15">
        <v>20</v>
      </c>
      <c r="C23" s="16" t="s">
        <v>44</v>
      </c>
      <c r="D23" s="17">
        <f>+E23+I23+M23+Q23+U23+Y23+AC23+AG23+AK23+AO23+AS23+AW23+BA23+BE23+BI23+BM23+BQ23+BU23+BY23</f>
        <v>7452.517647058822</v>
      </c>
      <c r="E23" s="18">
        <f>+F23+G23+H23</f>
        <v>116.6</v>
      </c>
      <c r="F23" s="19"/>
      <c r="G23" s="19">
        <v>116.6</v>
      </c>
      <c r="H23" s="19"/>
      <c r="I23" s="18">
        <f>+J23+K23+L23</f>
        <v>122.1</v>
      </c>
      <c r="J23" s="19"/>
      <c r="K23" s="19">
        <v>122.1</v>
      </c>
      <c r="L23" s="19"/>
      <c r="M23" s="18">
        <f>+N23+O23+P23</f>
        <v>421.79999999999995</v>
      </c>
      <c r="N23" s="19"/>
      <c r="O23" s="19">
        <v>291.2</v>
      </c>
      <c r="P23" s="19">
        <v>130.6</v>
      </c>
      <c r="Q23" s="18">
        <f>+R23+S23+T23</f>
        <v>530</v>
      </c>
      <c r="R23" s="19">
        <v>74.9</v>
      </c>
      <c r="S23" s="19">
        <v>215.7</v>
      </c>
      <c r="T23" s="19">
        <v>239.4</v>
      </c>
      <c r="U23" s="23">
        <f>+V23+W23+X23</f>
        <v>425.75882352941176</v>
      </c>
      <c r="V23" s="24">
        <f>+(N23+R23+AP23+AT23+AX23+BB23)/17</f>
        <v>23.552941176470586</v>
      </c>
      <c r="W23" s="24">
        <f>+(O23+S23+G23+K23+AE23+AI23+AN23+AQ23+AU23+AY23+BC23+BG23+BK23+BO23+BS23+BW23+CA23)/17</f>
        <v>208.2058823529412</v>
      </c>
      <c r="X23" s="24">
        <f>+(P23+T23+H23+L23+AF23+AJ23+AO23+AR23+AV23+AZ23+BD23+BH23+BL23+BP23+BT23+BX23+CB23)/17</f>
        <v>194</v>
      </c>
      <c r="Y23" s="23">
        <f>+Z23+AA23+AB23</f>
        <v>425.75882352941176</v>
      </c>
      <c r="Z23" s="24">
        <f>+(N23+R23+AP23+AT23+AX23+BB23)/17</f>
        <v>23.552941176470586</v>
      </c>
      <c r="AA23" s="24">
        <f>+(O23+S23+G23+K23+AE23+AI23+AN23+AQ23+AU23+AY23+BC23+BG23+BK23+BO23+BS23+BW23+CA23)/17</f>
        <v>208.2058823529412</v>
      </c>
      <c r="AB23" s="24">
        <f>+(P23+T23+H23+L23+AF23+AJ23+AO23+AR23+AV23+AZ23+BD23+BH23+BL23+BP23+BT23+BX23+CB23)/17</f>
        <v>194</v>
      </c>
      <c r="AC23" s="18">
        <f>+AD23+AE23+AF23</f>
        <v>353.79999999999995</v>
      </c>
      <c r="AD23" s="19"/>
      <c r="AE23" s="19">
        <v>225.6</v>
      </c>
      <c r="AF23" s="19">
        <v>128.2</v>
      </c>
      <c r="AG23" s="18">
        <f>+AH23+AI23+AJ23</f>
        <v>287.1</v>
      </c>
      <c r="AH23" s="19"/>
      <c r="AI23" s="19">
        <v>135.3</v>
      </c>
      <c r="AJ23" s="19">
        <v>151.8</v>
      </c>
      <c r="AK23" s="18">
        <f>+AL23+AM23+AN23</f>
        <v>248.7</v>
      </c>
      <c r="AL23" s="19"/>
      <c r="AM23" s="19"/>
      <c r="AN23" s="19">
        <v>248.7</v>
      </c>
      <c r="AO23" s="18">
        <f>+AP23+AQ23+AR23</f>
        <v>636.9000000000001</v>
      </c>
      <c r="AP23" s="19">
        <v>91.6</v>
      </c>
      <c r="AQ23" s="19">
        <v>350.5</v>
      </c>
      <c r="AR23" s="19">
        <v>194.8</v>
      </c>
      <c r="AS23" s="18">
        <f>+AT23+AU23+AV23</f>
        <v>683.4</v>
      </c>
      <c r="AT23" s="19">
        <v>85.6</v>
      </c>
      <c r="AU23" s="19">
        <v>330.8</v>
      </c>
      <c r="AV23" s="19">
        <v>267</v>
      </c>
      <c r="AW23" s="18">
        <f>+AX23+AY23+AZ23</f>
        <v>478.8</v>
      </c>
      <c r="AX23" s="19">
        <v>62.9</v>
      </c>
      <c r="AY23" s="19">
        <v>273.1</v>
      </c>
      <c r="AZ23" s="19">
        <v>142.8</v>
      </c>
      <c r="BA23" s="18">
        <f>+BB23+BC23+BD23</f>
        <v>557</v>
      </c>
      <c r="BB23" s="19">
        <v>85.4</v>
      </c>
      <c r="BC23" s="19">
        <v>163.6</v>
      </c>
      <c r="BD23" s="19">
        <v>308</v>
      </c>
      <c r="BE23" s="18">
        <f>+BF23+BG23+BH23</f>
        <v>301.4</v>
      </c>
      <c r="BF23" s="19"/>
      <c r="BG23" s="19">
        <v>182.5</v>
      </c>
      <c r="BH23" s="19">
        <v>118.9</v>
      </c>
      <c r="BI23" s="18">
        <f>+BJ23+BK23+BL23</f>
        <v>294.3</v>
      </c>
      <c r="BJ23" s="19"/>
      <c r="BK23" s="19">
        <v>182.5</v>
      </c>
      <c r="BL23" s="19">
        <v>111.8</v>
      </c>
      <c r="BM23" s="18">
        <f>+BN23+BO23+BP23</f>
        <v>384.7</v>
      </c>
      <c r="BN23" s="19"/>
      <c r="BO23" s="19">
        <v>74.7</v>
      </c>
      <c r="BP23" s="19">
        <v>310</v>
      </c>
      <c r="BQ23" s="18">
        <f>+BR23+BS23+BT23</f>
        <v>397.29999999999995</v>
      </c>
      <c r="BR23" s="19"/>
      <c r="BS23" s="19">
        <v>89.1</v>
      </c>
      <c r="BT23" s="20">
        <v>308.2</v>
      </c>
      <c r="BU23" s="18">
        <f>+BV23+BW23+BX23</f>
        <v>444.90000000000003</v>
      </c>
      <c r="BV23" s="19"/>
      <c r="BW23" s="19">
        <f>116.9+113.2+67.6</f>
        <v>297.70000000000005</v>
      </c>
      <c r="BX23" s="19">
        <f>89.7+57.5</f>
        <v>147.2</v>
      </c>
      <c r="BY23" s="18">
        <f>+BZ23+CA23+CB23</f>
        <v>342.20000000000005</v>
      </c>
      <c r="BZ23" s="19"/>
      <c r="CA23" s="19">
        <f>84.7+97.1+58</f>
        <v>239.8</v>
      </c>
      <c r="CB23" s="20">
        <f>62.1+40.3</f>
        <v>102.4</v>
      </c>
    </row>
    <row r="24" spans="2:80" ht="12.75">
      <c r="B24" s="15">
        <v>21</v>
      </c>
      <c r="C24" s="16" t="s">
        <v>22</v>
      </c>
      <c r="D24" s="17">
        <f t="shared" si="16"/>
        <v>7253.500000000001</v>
      </c>
      <c r="E24" s="18">
        <f>+F24+G24+H24</f>
        <v>231.2</v>
      </c>
      <c r="F24" s="19"/>
      <c r="G24" s="19">
        <v>10</v>
      </c>
      <c r="H24" s="19">
        <f>85.8+67.9+67.5</f>
        <v>221.2</v>
      </c>
      <c r="I24" s="18">
        <f>+J24+K24+L24</f>
        <v>367.5</v>
      </c>
      <c r="J24" s="19"/>
      <c r="K24" s="19">
        <v>75</v>
      </c>
      <c r="L24" s="19">
        <f>79.5+32.5+93.3+87.2</f>
        <v>292.5</v>
      </c>
      <c r="M24" s="18">
        <f t="shared" si="14"/>
        <v>385.5</v>
      </c>
      <c r="N24" s="19"/>
      <c r="O24" s="19"/>
      <c r="P24" s="19">
        <v>385.5</v>
      </c>
      <c r="Q24" s="18">
        <f t="shared" si="15"/>
        <v>397.6</v>
      </c>
      <c r="R24" s="19"/>
      <c r="S24" s="19"/>
      <c r="T24" s="19">
        <v>397.6</v>
      </c>
      <c r="U24" s="18">
        <f>+V24+W24+X24</f>
        <v>333.3</v>
      </c>
      <c r="V24" s="19"/>
      <c r="W24" s="19">
        <v>76.7</v>
      </c>
      <c r="X24" s="19">
        <v>256.6</v>
      </c>
      <c r="Y24" s="18">
        <f>+Z24+AA24+AB24</f>
        <v>353.9</v>
      </c>
      <c r="Z24" s="19"/>
      <c r="AA24" s="19">
        <v>76.2</v>
      </c>
      <c r="AB24" s="19">
        <v>277.7</v>
      </c>
      <c r="AC24" s="18">
        <f t="shared" si="2"/>
        <v>490.8</v>
      </c>
      <c r="AD24" s="19"/>
      <c r="AE24" s="19">
        <v>72.2</v>
      </c>
      <c r="AF24" s="19">
        <v>418.6</v>
      </c>
      <c r="AG24" s="18">
        <f t="shared" si="3"/>
        <v>564.4</v>
      </c>
      <c r="AH24" s="19"/>
      <c r="AI24" s="19">
        <v>74.2</v>
      </c>
      <c r="AJ24" s="19">
        <v>490.2</v>
      </c>
      <c r="AK24" s="18">
        <f t="shared" si="4"/>
        <v>320.4</v>
      </c>
      <c r="AL24" s="19"/>
      <c r="AM24" s="19">
        <v>74.3</v>
      </c>
      <c r="AN24" s="19">
        <v>246.1</v>
      </c>
      <c r="AO24" s="18">
        <f>+AP24+AQ24+AR24</f>
        <v>430.9</v>
      </c>
      <c r="AP24" s="19"/>
      <c r="AQ24" s="19">
        <v>70.9</v>
      </c>
      <c r="AR24" s="19">
        <v>360</v>
      </c>
      <c r="AS24" s="18">
        <f t="shared" si="5"/>
        <v>449.4</v>
      </c>
      <c r="AT24" s="19"/>
      <c r="AU24" s="19">
        <v>68.1</v>
      </c>
      <c r="AV24" s="19">
        <v>381.3</v>
      </c>
      <c r="AW24" s="18">
        <f t="shared" si="6"/>
        <v>427.3</v>
      </c>
      <c r="AX24" s="19"/>
      <c r="AY24" s="19">
        <v>85</v>
      </c>
      <c r="AZ24" s="19">
        <v>342.3</v>
      </c>
      <c r="BA24" s="18">
        <f t="shared" si="7"/>
        <v>453.1</v>
      </c>
      <c r="BB24" s="19"/>
      <c r="BC24" s="19">
        <v>69.8</v>
      </c>
      <c r="BD24" s="19">
        <v>383.3</v>
      </c>
      <c r="BE24" s="18">
        <f t="shared" si="23"/>
        <v>416.90000000000003</v>
      </c>
      <c r="BF24" s="19"/>
      <c r="BG24" s="19">
        <v>83.3</v>
      </c>
      <c r="BH24" s="19">
        <v>333.6</v>
      </c>
      <c r="BI24" s="18">
        <f t="shared" si="24"/>
        <v>476</v>
      </c>
      <c r="BJ24" s="19"/>
      <c r="BK24" s="19">
        <v>61.3</v>
      </c>
      <c r="BL24" s="19">
        <v>414.7</v>
      </c>
      <c r="BM24" s="18">
        <f t="shared" si="21"/>
        <v>332</v>
      </c>
      <c r="BN24" s="19"/>
      <c r="BO24" s="19">
        <v>69.3</v>
      </c>
      <c r="BP24" s="19">
        <v>262.7</v>
      </c>
      <c r="BQ24" s="18">
        <f t="shared" si="22"/>
        <v>252.79999999999998</v>
      </c>
      <c r="BR24" s="19"/>
      <c r="BS24" s="19">
        <v>82.6</v>
      </c>
      <c r="BT24" s="20">
        <v>170.2</v>
      </c>
      <c r="BU24" s="18">
        <f t="shared" si="12"/>
        <v>435.20000000000005</v>
      </c>
      <c r="BV24" s="19"/>
      <c r="BW24" s="19">
        <v>72.3</v>
      </c>
      <c r="BX24" s="19">
        <f>100+94.9+85.2+72.8+10</f>
        <v>362.90000000000003</v>
      </c>
      <c r="BY24" s="18">
        <f t="shared" si="13"/>
        <v>135.3</v>
      </c>
      <c r="BZ24" s="19"/>
      <c r="CA24" s="19">
        <v>42.8</v>
      </c>
      <c r="CB24" s="20">
        <f>58.3+34.2</f>
        <v>92.5</v>
      </c>
    </row>
    <row r="25" spans="2:80" ht="12.75">
      <c r="B25" s="15">
        <v>22</v>
      </c>
      <c r="C25" s="16" t="s">
        <v>21</v>
      </c>
      <c r="D25" s="17">
        <f t="shared" si="16"/>
        <v>6407.4</v>
      </c>
      <c r="E25" s="18">
        <f>+F25+G25+H25</f>
        <v>360.1</v>
      </c>
      <c r="F25" s="19"/>
      <c r="G25" s="19">
        <f>48.6+74.2+92.7</f>
        <v>215.5</v>
      </c>
      <c r="H25" s="19">
        <f>71.7+72.9</f>
        <v>144.60000000000002</v>
      </c>
      <c r="I25" s="18">
        <f>+J25+K25+L25</f>
        <v>393.5</v>
      </c>
      <c r="J25" s="19"/>
      <c r="K25" s="19">
        <f>58.3+78.5+98.5</f>
        <v>235.3</v>
      </c>
      <c r="L25" s="19">
        <f>74.3+83.9</f>
        <v>158.2</v>
      </c>
      <c r="M25" s="18">
        <f t="shared" si="14"/>
        <v>333.7</v>
      </c>
      <c r="N25" s="19"/>
      <c r="O25" s="19">
        <v>253.5</v>
      </c>
      <c r="P25" s="19">
        <v>80.2</v>
      </c>
      <c r="Q25" s="18">
        <f t="shared" si="15"/>
        <v>328.2</v>
      </c>
      <c r="R25" s="19"/>
      <c r="S25" s="19">
        <v>238.4</v>
      </c>
      <c r="T25" s="19">
        <v>89.8</v>
      </c>
      <c r="U25" s="18">
        <f>+V25+W25+X25</f>
        <v>399</v>
      </c>
      <c r="V25" s="19"/>
      <c r="W25" s="19">
        <v>318.3</v>
      </c>
      <c r="X25" s="19">
        <v>80.7</v>
      </c>
      <c r="Y25" s="18">
        <f>+Z25+AA25+AB25</f>
        <v>393.9</v>
      </c>
      <c r="Z25" s="19"/>
      <c r="AA25" s="19">
        <v>306.4</v>
      </c>
      <c r="AB25" s="19">
        <v>87.5</v>
      </c>
      <c r="AC25" s="18">
        <f t="shared" si="2"/>
        <v>349.9</v>
      </c>
      <c r="AD25" s="19"/>
      <c r="AE25" s="19">
        <v>204</v>
      </c>
      <c r="AF25" s="19">
        <v>145.9</v>
      </c>
      <c r="AG25" s="18">
        <f t="shared" si="3"/>
        <v>419.3</v>
      </c>
      <c r="AH25" s="19"/>
      <c r="AI25" s="19">
        <v>263</v>
      </c>
      <c r="AJ25" s="19">
        <v>156.3</v>
      </c>
      <c r="AK25" s="18">
        <f t="shared" si="4"/>
        <v>191.2</v>
      </c>
      <c r="AL25" s="19"/>
      <c r="AM25" s="19">
        <v>181.2</v>
      </c>
      <c r="AN25" s="19">
        <v>10</v>
      </c>
      <c r="AO25" s="18">
        <f>+AP25+AQ25+AR25</f>
        <v>255.2</v>
      </c>
      <c r="AP25" s="19"/>
      <c r="AQ25" s="19">
        <v>255.2</v>
      </c>
      <c r="AR25" s="19"/>
      <c r="AS25" s="18">
        <f t="shared" si="5"/>
        <v>273.7</v>
      </c>
      <c r="AT25" s="19"/>
      <c r="AU25" s="19">
        <v>273.7</v>
      </c>
      <c r="AV25" s="19"/>
      <c r="AW25" s="18">
        <f t="shared" si="6"/>
        <v>256.7</v>
      </c>
      <c r="AX25" s="19"/>
      <c r="AY25" s="19">
        <v>256.7</v>
      </c>
      <c r="AZ25" s="19"/>
      <c r="BA25" s="18">
        <f t="shared" si="7"/>
        <v>297.3</v>
      </c>
      <c r="BB25" s="19"/>
      <c r="BC25" s="19">
        <v>297.3</v>
      </c>
      <c r="BD25" s="19"/>
      <c r="BE25" s="18">
        <f t="shared" si="23"/>
        <v>387.29999999999995</v>
      </c>
      <c r="BF25" s="19"/>
      <c r="BG25" s="19">
        <v>316.4</v>
      </c>
      <c r="BH25" s="19">
        <v>70.9</v>
      </c>
      <c r="BI25" s="18">
        <f t="shared" si="24"/>
        <v>350.29999999999995</v>
      </c>
      <c r="BJ25" s="19"/>
      <c r="BK25" s="19">
        <v>270.7</v>
      </c>
      <c r="BL25" s="19">
        <v>79.6</v>
      </c>
      <c r="BM25" s="18">
        <f t="shared" si="21"/>
        <v>375.8</v>
      </c>
      <c r="BN25" s="19"/>
      <c r="BO25" s="19">
        <v>217.8</v>
      </c>
      <c r="BP25" s="19">
        <v>158</v>
      </c>
      <c r="BQ25" s="18">
        <f t="shared" si="22"/>
        <v>353.5</v>
      </c>
      <c r="BR25" s="19"/>
      <c r="BS25" s="19">
        <v>203.7</v>
      </c>
      <c r="BT25" s="20">
        <v>149.8</v>
      </c>
      <c r="BU25" s="18">
        <f t="shared" si="12"/>
        <v>379.4</v>
      </c>
      <c r="BV25" s="19"/>
      <c r="BW25" s="19">
        <f>92.9+88.8+56.8</f>
        <v>238.5</v>
      </c>
      <c r="BX25" s="19">
        <f>82.6+58.3</f>
        <v>140.89999999999998</v>
      </c>
      <c r="BY25" s="18">
        <f t="shared" si="13"/>
        <v>309.4</v>
      </c>
      <c r="BZ25" s="19"/>
      <c r="CA25" s="19">
        <f>74.6+64.3+50.6</f>
        <v>189.49999999999997</v>
      </c>
      <c r="CB25" s="20">
        <f>73.2+46.7</f>
        <v>119.9</v>
      </c>
    </row>
    <row r="26" spans="2:80" ht="12.75">
      <c r="B26" s="15">
        <v>23</v>
      </c>
      <c r="C26" s="16" t="s">
        <v>23</v>
      </c>
      <c r="D26" s="17">
        <f t="shared" si="16"/>
        <v>5470.5</v>
      </c>
      <c r="E26" s="18">
        <f>+F26+G26+H26</f>
        <v>231</v>
      </c>
      <c r="F26" s="19">
        <v>86.5</v>
      </c>
      <c r="G26" s="19"/>
      <c r="H26" s="19">
        <f>76.7+67.8</f>
        <v>144.5</v>
      </c>
      <c r="I26" s="18">
        <f>+J26+K26+L26</f>
        <v>255.3</v>
      </c>
      <c r="J26" s="19">
        <v>90</v>
      </c>
      <c r="K26" s="19"/>
      <c r="L26" s="19">
        <f>83.2+82.1</f>
        <v>165.3</v>
      </c>
      <c r="M26" s="18">
        <f t="shared" si="14"/>
        <v>507.8</v>
      </c>
      <c r="N26" s="19">
        <v>207</v>
      </c>
      <c r="O26" s="19"/>
      <c r="P26" s="19">
        <v>300.8</v>
      </c>
      <c r="Q26" s="18">
        <f t="shared" si="15"/>
        <v>510</v>
      </c>
      <c r="R26" s="19">
        <v>170.8</v>
      </c>
      <c r="S26" s="19"/>
      <c r="T26" s="19">
        <v>339.2</v>
      </c>
      <c r="U26" s="18">
        <f>+V26+W26+X26</f>
        <v>227.4</v>
      </c>
      <c r="V26" s="19"/>
      <c r="W26" s="19"/>
      <c r="X26" s="19">
        <v>227.4</v>
      </c>
      <c r="Y26" s="18">
        <f>+Z26+AA26+AB26</f>
        <v>238.1</v>
      </c>
      <c r="Z26" s="19"/>
      <c r="AA26" s="19"/>
      <c r="AB26" s="19">
        <v>238.1</v>
      </c>
      <c r="AC26" s="18">
        <f t="shared" si="2"/>
        <v>223.1</v>
      </c>
      <c r="AD26" s="19">
        <v>62.4</v>
      </c>
      <c r="AE26" s="19"/>
      <c r="AF26" s="19">
        <v>160.7</v>
      </c>
      <c r="AG26" s="18">
        <f t="shared" si="3"/>
        <v>230</v>
      </c>
      <c r="AH26" s="19">
        <v>71.1</v>
      </c>
      <c r="AI26" s="19"/>
      <c r="AJ26" s="19">
        <v>158.9</v>
      </c>
      <c r="AK26" s="18">
        <f t="shared" si="4"/>
        <v>320.7</v>
      </c>
      <c r="AL26" s="19">
        <v>152.1</v>
      </c>
      <c r="AM26" s="19"/>
      <c r="AN26" s="19">
        <v>168.6</v>
      </c>
      <c r="AO26" s="18">
        <f>+AP26+AQ26+AR26</f>
        <v>332.3</v>
      </c>
      <c r="AP26" s="19">
        <v>141</v>
      </c>
      <c r="AQ26" s="19"/>
      <c r="AR26" s="19">
        <v>191.3</v>
      </c>
      <c r="AS26" s="18">
        <f t="shared" si="5"/>
        <v>447</v>
      </c>
      <c r="AT26" s="19">
        <v>168.7</v>
      </c>
      <c r="AU26" s="19"/>
      <c r="AV26" s="19">
        <v>278.3</v>
      </c>
      <c r="AW26" s="18">
        <f t="shared" si="6"/>
        <v>347.4</v>
      </c>
      <c r="AX26" s="19">
        <v>98.5</v>
      </c>
      <c r="AY26" s="19"/>
      <c r="AZ26" s="19">
        <v>248.9</v>
      </c>
      <c r="BA26" s="18">
        <f t="shared" si="7"/>
        <v>427.40000000000003</v>
      </c>
      <c r="BB26" s="19">
        <v>101.4</v>
      </c>
      <c r="BC26" s="19">
        <v>68.4</v>
      </c>
      <c r="BD26" s="19">
        <v>257.6</v>
      </c>
      <c r="BE26" s="18">
        <f t="shared" si="23"/>
        <v>240</v>
      </c>
      <c r="BF26" s="19">
        <v>166.2</v>
      </c>
      <c r="BG26" s="19"/>
      <c r="BH26" s="19">
        <v>73.8</v>
      </c>
      <c r="BI26" s="18">
        <f t="shared" si="24"/>
        <v>190.3</v>
      </c>
      <c r="BJ26" s="19">
        <v>110</v>
      </c>
      <c r="BK26" s="19"/>
      <c r="BL26" s="19">
        <v>80.3</v>
      </c>
      <c r="BM26" s="18">
        <f t="shared" si="21"/>
        <v>270.4</v>
      </c>
      <c r="BN26" s="19">
        <v>100</v>
      </c>
      <c r="BO26" s="19"/>
      <c r="BP26" s="19">
        <v>170.4</v>
      </c>
      <c r="BQ26" s="18">
        <f t="shared" si="22"/>
        <v>143.3</v>
      </c>
      <c r="BR26" s="19">
        <v>71</v>
      </c>
      <c r="BS26" s="19"/>
      <c r="BT26" s="20">
        <v>72.3</v>
      </c>
      <c r="BU26" s="18">
        <f t="shared" si="12"/>
        <v>181</v>
      </c>
      <c r="BV26" s="19">
        <f>81.1+45.9</f>
        <v>127</v>
      </c>
      <c r="BW26" s="19"/>
      <c r="BX26" s="19">
        <v>54</v>
      </c>
      <c r="BY26" s="18">
        <f t="shared" si="13"/>
        <v>148</v>
      </c>
      <c r="BZ26" s="19">
        <v>98</v>
      </c>
      <c r="CA26" s="19"/>
      <c r="CB26" s="20">
        <v>50</v>
      </c>
    </row>
    <row r="27" spans="2:80" ht="12.75">
      <c r="B27" s="15">
        <v>24</v>
      </c>
      <c r="C27" s="16" t="s">
        <v>15</v>
      </c>
      <c r="D27" s="17">
        <f t="shared" si="16"/>
        <v>4936.7</v>
      </c>
      <c r="E27" s="18"/>
      <c r="F27" s="19"/>
      <c r="G27" s="19"/>
      <c r="H27" s="19"/>
      <c r="I27" s="18"/>
      <c r="J27" s="19"/>
      <c r="K27" s="19"/>
      <c r="L27" s="19"/>
      <c r="M27" s="18">
        <f t="shared" si="14"/>
        <v>414.7</v>
      </c>
      <c r="N27" s="19">
        <v>291.7</v>
      </c>
      <c r="O27" s="19"/>
      <c r="P27" s="19">
        <v>123</v>
      </c>
      <c r="Q27" s="18">
        <f t="shared" si="15"/>
        <v>561.3</v>
      </c>
      <c r="R27" s="19">
        <v>370.2</v>
      </c>
      <c r="S27" s="19"/>
      <c r="T27" s="19">
        <v>191.1</v>
      </c>
      <c r="U27" s="18">
        <f aca="true" t="shared" si="25" ref="U27:U36">+V27+W27+X27</f>
        <v>695.9000000000001</v>
      </c>
      <c r="V27" s="19">
        <v>454.6</v>
      </c>
      <c r="W27" s="19"/>
      <c r="X27" s="19">
        <v>241.3</v>
      </c>
      <c r="Y27" s="18">
        <f aca="true" t="shared" si="26" ref="Y27:Y36">+Z27+AA27+AB27</f>
        <v>696.2</v>
      </c>
      <c r="Z27" s="19">
        <v>484.8</v>
      </c>
      <c r="AA27" s="19"/>
      <c r="AB27" s="19">
        <v>211.4</v>
      </c>
      <c r="AC27" s="18"/>
      <c r="AD27" s="19"/>
      <c r="AE27" s="19"/>
      <c r="AF27" s="19"/>
      <c r="AG27" s="18"/>
      <c r="AH27" s="19"/>
      <c r="AI27" s="19"/>
      <c r="AJ27" s="19"/>
      <c r="AK27" s="18"/>
      <c r="AL27" s="19"/>
      <c r="AM27" s="19"/>
      <c r="AN27" s="19"/>
      <c r="AO27" s="18">
        <f>+AP27+AQ27+AR27</f>
        <v>550</v>
      </c>
      <c r="AP27" s="19">
        <v>367.2</v>
      </c>
      <c r="AQ27" s="19"/>
      <c r="AR27" s="19">
        <v>182.8</v>
      </c>
      <c r="AS27" s="18">
        <f t="shared" si="5"/>
        <v>393</v>
      </c>
      <c r="AT27" s="19">
        <v>273.3</v>
      </c>
      <c r="AU27" s="19"/>
      <c r="AV27" s="19">
        <v>119.7</v>
      </c>
      <c r="AW27" s="18">
        <f t="shared" si="6"/>
        <v>221.8</v>
      </c>
      <c r="AX27" s="19">
        <v>115.6</v>
      </c>
      <c r="AY27" s="19"/>
      <c r="AZ27" s="19">
        <v>106.2</v>
      </c>
      <c r="BA27" s="18">
        <f t="shared" si="7"/>
        <v>417.6</v>
      </c>
      <c r="BB27" s="19">
        <v>314.7</v>
      </c>
      <c r="BC27" s="19"/>
      <c r="BD27" s="19">
        <v>102.9</v>
      </c>
      <c r="BE27" s="18"/>
      <c r="BF27" s="19"/>
      <c r="BG27" s="19"/>
      <c r="BH27" s="19"/>
      <c r="BI27" s="18"/>
      <c r="BJ27" s="19"/>
      <c r="BK27" s="19"/>
      <c r="BL27" s="19"/>
      <c r="BM27" s="18">
        <f t="shared" si="21"/>
        <v>479.29999999999995</v>
      </c>
      <c r="BN27" s="19">
        <v>360.9</v>
      </c>
      <c r="BO27" s="19"/>
      <c r="BP27" s="19">
        <v>118.4</v>
      </c>
      <c r="BQ27" s="18">
        <f t="shared" si="22"/>
        <v>506.9</v>
      </c>
      <c r="BR27" s="19">
        <v>396.5</v>
      </c>
      <c r="BS27" s="19"/>
      <c r="BT27" s="20">
        <v>110.4</v>
      </c>
      <c r="BU27" s="18"/>
      <c r="BV27" s="19"/>
      <c r="BW27" s="19"/>
      <c r="BX27" s="19"/>
      <c r="BY27" s="18"/>
      <c r="BZ27" s="19"/>
      <c r="CA27" s="19"/>
      <c r="CB27" s="20"/>
    </row>
    <row r="28" spans="2:80" ht="12.75">
      <c r="B28" s="15">
        <v>25</v>
      </c>
      <c r="C28" s="16" t="s">
        <v>26</v>
      </c>
      <c r="D28" s="17">
        <f t="shared" si="16"/>
        <v>4352</v>
      </c>
      <c r="E28" s="18">
        <f>+F28+G28+H28</f>
        <v>171.9</v>
      </c>
      <c r="F28" s="19">
        <v>100</v>
      </c>
      <c r="G28" s="19"/>
      <c r="H28" s="19">
        <v>71.9</v>
      </c>
      <c r="I28" s="18">
        <f>+J28+K28+L28</f>
        <v>178.7</v>
      </c>
      <c r="J28" s="19">
        <v>100</v>
      </c>
      <c r="K28" s="19"/>
      <c r="L28" s="19">
        <v>78.7</v>
      </c>
      <c r="M28" s="18">
        <f>+N28+O28+P28</f>
        <v>205.9</v>
      </c>
      <c r="N28" s="19"/>
      <c r="O28" s="19"/>
      <c r="P28" s="19">
        <v>205.9</v>
      </c>
      <c r="Q28" s="18">
        <f>+R28+S28+T28</f>
        <v>223.4</v>
      </c>
      <c r="R28" s="19"/>
      <c r="S28" s="19"/>
      <c r="T28" s="19">
        <v>223.4</v>
      </c>
      <c r="U28" s="18">
        <f>+V28+W28+X28</f>
        <v>211.3</v>
      </c>
      <c r="V28" s="19">
        <v>137.4</v>
      </c>
      <c r="W28" s="19"/>
      <c r="X28" s="19">
        <v>73.9</v>
      </c>
      <c r="Y28" s="18">
        <f>+Z28+AA28+AB28</f>
        <v>155</v>
      </c>
      <c r="Z28" s="19">
        <v>86.7</v>
      </c>
      <c r="AA28" s="19"/>
      <c r="AB28" s="19">
        <v>68.3</v>
      </c>
      <c r="AC28" s="18">
        <f>+AD28+AE28+AF28</f>
        <v>293.8</v>
      </c>
      <c r="AD28" s="19">
        <v>293.8</v>
      </c>
      <c r="AE28" s="19"/>
      <c r="AF28" s="19"/>
      <c r="AG28" s="18">
        <f>+AH28+AI28+AJ28</f>
        <v>267.5</v>
      </c>
      <c r="AH28" s="19">
        <v>267.5</v>
      </c>
      <c r="AI28" s="19"/>
      <c r="AJ28" s="19"/>
      <c r="AK28" s="18">
        <f>+AL28+AM28+AN28</f>
        <v>420.69999999999993</v>
      </c>
      <c r="AL28" s="19">
        <v>273.4</v>
      </c>
      <c r="AM28" s="19">
        <v>51.7</v>
      </c>
      <c r="AN28" s="19">
        <v>95.6</v>
      </c>
      <c r="AO28" s="18"/>
      <c r="AP28" s="19"/>
      <c r="AQ28" s="19"/>
      <c r="AR28" s="19"/>
      <c r="AS28" s="18"/>
      <c r="AT28" s="19"/>
      <c r="AU28" s="19"/>
      <c r="AV28" s="19"/>
      <c r="AW28" s="18"/>
      <c r="AX28" s="19"/>
      <c r="AY28" s="19"/>
      <c r="AZ28" s="19"/>
      <c r="BA28" s="18"/>
      <c r="BB28" s="19"/>
      <c r="BC28" s="19"/>
      <c r="BD28" s="19"/>
      <c r="BE28" s="18">
        <f>+BF28+BG28+BH28</f>
        <v>441.6</v>
      </c>
      <c r="BF28" s="19">
        <v>354</v>
      </c>
      <c r="BG28" s="19"/>
      <c r="BH28" s="19">
        <v>87.6</v>
      </c>
      <c r="BI28" s="18">
        <f>+BJ28+BK28+BL28</f>
        <v>414.3</v>
      </c>
      <c r="BJ28" s="19">
        <v>334</v>
      </c>
      <c r="BK28" s="19"/>
      <c r="BL28" s="19">
        <v>80.3</v>
      </c>
      <c r="BM28" s="18">
        <f>+BN28+BO28+BP28</f>
        <v>546</v>
      </c>
      <c r="BN28" s="19">
        <v>396.4</v>
      </c>
      <c r="BO28" s="19">
        <v>66.8</v>
      </c>
      <c r="BP28" s="19">
        <v>82.8</v>
      </c>
      <c r="BQ28" s="18">
        <f>+BR28+BS28+BT28</f>
        <v>486.4</v>
      </c>
      <c r="BR28" s="19">
        <v>352.2</v>
      </c>
      <c r="BS28" s="19">
        <v>52.5</v>
      </c>
      <c r="BT28" s="20">
        <v>81.7</v>
      </c>
      <c r="BU28" s="18">
        <f>+BV28+BW28+BX28</f>
        <v>208.2</v>
      </c>
      <c r="BV28" s="19">
        <f>75.9+60</f>
        <v>135.9</v>
      </c>
      <c r="BW28" s="19"/>
      <c r="BX28" s="19">
        <v>72.3</v>
      </c>
      <c r="BY28" s="18">
        <f>+BZ28+CA28+CB28</f>
        <v>127.3</v>
      </c>
      <c r="BZ28" s="19">
        <f>45.8+43.7</f>
        <v>89.5</v>
      </c>
      <c r="CA28" s="19"/>
      <c r="CB28" s="20">
        <v>37.8</v>
      </c>
    </row>
    <row r="29" spans="2:80" ht="12.75">
      <c r="B29" s="15">
        <v>26</v>
      </c>
      <c r="C29" s="16" t="s">
        <v>59</v>
      </c>
      <c r="D29" s="17">
        <f t="shared" si="16"/>
        <v>4040.7999999999993</v>
      </c>
      <c r="E29" s="18"/>
      <c r="F29" s="19"/>
      <c r="G29" s="19"/>
      <c r="H29" s="19"/>
      <c r="I29" s="18"/>
      <c r="J29" s="19"/>
      <c r="K29" s="19"/>
      <c r="L29" s="19"/>
      <c r="M29" s="18"/>
      <c r="N29" s="19"/>
      <c r="O29" s="19"/>
      <c r="P29" s="19"/>
      <c r="Q29" s="18"/>
      <c r="R29" s="19"/>
      <c r="S29" s="19"/>
      <c r="T29" s="19"/>
      <c r="U29" s="18">
        <f t="shared" si="25"/>
        <v>187.4</v>
      </c>
      <c r="V29" s="19">
        <v>10</v>
      </c>
      <c r="W29" s="19">
        <v>116.2</v>
      </c>
      <c r="X29" s="19">
        <v>61.2</v>
      </c>
      <c r="Y29" s="18">
        <f t="shared" si="26"/>
        <v>219.7</v>
      </c>
      <c r="Z29" s="19">
        <v>41.9</v>
      </c>
      <c r="AA29" s="19">
        <v>126</v>
      </c>
      <c r="AB29" s="19">
        <v>51.8</v>
      </c>
      <c r="AC29" s="18">
        <f t="shared" si="2"/>
        <v>506.6</v>
      </c>
      <c r="AD29" s="19"/>
      <c r="AE29" s="19">
        <v>272.6</v>
      </c>
      <c r="AF29" s="19">
        <v>234</v>
      </c>
      <c r="AG29" s="18">
        <f t="shared" si="3"/>
        <v>473</v>
      </c>
      <c r="AH29" s="19">
        <v>76.8</v>
      </c>
      <c r="AI29" s="19">
        <v>304.3</v>
      </c>
      <c r="AJ29" s="19">
        <v>91.9</v>
      </c>
      <c r="AK29" s="18">
        <f t="shared" si="4"/>
        <v>274.7</v>
      </c>
      <c r="AL29" s="19"/>
      <c r="AM29" s="19">
        <v>236.6</v>
      </c>
      <c r="AN29" s="19">
        <v>38.1</v>
      </c>
      <c r="AO29" s="18">
        <f>+AP29+AQ29+AR29</f>
        <v>513.8</v>
      </c>
      <c r="AP29" s="19"/>
      <c r="AQ29" s="19">
        <v>295</v>
      </c>
      <c r="AR29" s="19">
        <v>218.8</v>
      </c>
      <c r="AS29" s="18">
        <f t="shared" si="5"/>
        <v>390.7</v>
      </c>
      <c r="AT29" s="19"/>
      <c r="AU29" s="19">
        <v>241.1</v>
      </c>
      <c r="AV29" s="19">
        <v>149.6</v>
      </c>
      <c r="AW29" s="18">
        <f t="shared" si="6"/>
        <v>220</v>
      </c>
      <c r="AX29" s="19"/>
      <c r="AY29" s="19">
        <v>131.3</v>
      </c>
      <c r="AZ29" s="19">
        <v>88.7</v>
      </c>
      <c r="BA29" s="18">
        <f t="shared" si="7"/>
        <v>272.9</v>
      </c>
      <c r="BB29" s="19"/>
      <c r="BC29" s="19">
        <v>216.2</v>
      </c>
      <c r="BD29" s="19">
        <v>56.7</v>
      </c>
      <c r="BE29" s="18">
        <f t="shared" si="23"/>
        <v>198.7</v>
      </c>
      <c r="BF29" s="19"/>
      <c r="BG29" s="19">
        <v>141.7</v>
      </c>
      <c r="BH29" s="19">
        <v>57</v>
      </c>
      <c r="BI29" s="18">
        <f t="shared" si="24"/>
        <v>172.6</v>
      </c>
      <c r="BJ29" s="19"/>
      <c r="BK29" s="19">
        <v>117.3</v>
      </c>
      <c r="BL29" s="19">
        <v>55.3</v>
      </c>
      <c r="BM29" s="18">
        <f t="shared" si="21"/>
        <v>216.2</v>
      </c>
      <c r="BN29" s="19"/>
      <c r="BO29" s="19">
        <v>216.2</v>
      </c>
      <c r="BP29" s="19"/>
      <c r="BQ29" s="18"/>
      <c r="BR29" s="19"/>
      <c r="BS29" s="19"/>
      <c r="BT29" s="20"/>
      <c r="BU29" s="18">
        <f aca="true" t="shared" si="27" ref="BU29:BU36">+BV29+BW29+BX29</f>
        <v>236.9</v>
      </c>
      <c r="BV29" s="19"/>
      <c r="BW29" s="19">
        <f>70.5+61.6</f>
        <v>132.1</v>
      </c>
      <c r="BX29" s="19">
        <f>57.2+47.6</f>
        <v>104.80000000000001</v>
      </c>
      <c r="BY29" s="18">
        <f aca="true" t="shared" si="28" ref="BY29:BY36">+BZ29+CA29+CB29</f>
        <v>157.6</v>
      </c>
      <c r="BZ29" s="19"/>
      <c r="CA29" s="19">
        <f>56.2+53.9</f>
        <v>110.1</v>
      </c>
      <c r="CB29" s="20">
        <v>47.5</v>
      </c>
    </row>
    <row r="30" spans="2:80" ht="12.75">
      <c r="B30" s="15">
        <v>27</v>
      </c>
      <c r="C30" s="16" t="s">
        <v>30</v>
      </c>
      <c r="D30" s="17">
        <f t="shared" si="16"/>
        <v>2898.7000000000003</v>
      </c>
      <c r="E30" s="18">
        <f>+F30+G30+H30</f>
        <v>87.8</v>
      </c>
      <c r="F30" s="19"/>
      <c r="G30" s="19"/>
      <c r="H30" s="19">
        <v>87.8</v>
      </c>
      <c r="I30" s="18">
        <f>+J30+K30+L30</f>
        <v>86.4</v>
      </c>
      <c r="J30" s="19"/>
      <c r="K30" s="19"/>
      <c r="L30" s="19">
        <v>86.4</v>
      </c>
      <c r="M30" s="18">
        <f t="shared" si="14"/>
        <v>156.8</v>
      </c>
      <c r="N30" s="19"/>
      <c r="O30" s="19">
        <v>94.4</v>
      </c>
      <c r="P30" s="19">
        <v>62.4</v>
      </c>
      <c r="Q30" s="18">
        <f t="shared" si="15"/>
        <v>150.7</v>
      </c>
      <c r="R30" s="19"/>
      <c r="S30" s="19">
        <v>92.9</v>
      </c>
      <c r="T30" s="19">
        <v>57.8</v>
      </c>
      <c r="U30" s="18">
        <f t="shared" si="25"/>
        <v>165</v>
      </c>
      <c r="V30" s="19"/>
      <c r="W30" s="19"/>
      <c r="X30" s="19">
        <v>165</v>
      </c>
      <c r="Y30" s="18">
        <f t="shared" si="26"/>
        <v>82</v>
      </c>
      <c r="Z30" s="19"/>
      <c r="AA30" s="19"/>
      <c r="AB30" s="19">
        <v>82</v>
      </c>
      <c r="AC30" s="18">
        <f t="shared" si="2"/>
        <v>135.3</v>
      </c>
      <c r="AD30" s="19"/>
      <c r="AE30" s="19"/>
      <c r="AF30" s="19">
        <v>135.3</v>
      </c>
      <c r="AG30" s="18">
        <f t="shared" si="3"/>
        <v>154.1</v>
      </c>
      <c r="AH30" s="19"/>
      <c r="AI30" s="19"/>
      <c r="AJ30" s="19">
        <v>154.1</v>
      </c>
      <c r="AK30" s="18">
        <f t="shared" si="4"/>
        <v>257.4</v>
      </c>
      <c r="AL30" s="19"/>
      <c r="AM30" s="19"/>
      <c r="AN30" s="19">
        <v>257.4</v>
      </c>
      <c r="AO30" s="18">
        <f>+AP30+AQ30+AR30</f>
        <v>227.4</v>
      </c>
      <c r="AP30" s="19"/>
      <c r="AQ30" s="19"/>
      <c r="AR30" s="19">
        <v>227.4</v>
      </c>
      <c r="AS30" s="18">
        <f t="shared" si="5"/>
        <v>288.9</v>
      </c>
      <c r="AT30" s="19"/>
      <c r="AU30" s="19"/>
      <c r="AV30" s="19">
        <v>288.9</v>
      </c>
      <c r="AW30" s="18">
        <f t="shared" si="6"/>
        <v>207.4</v>
      </c>
      <c r="AX30" s="19"/>
      <c r="AY30" s="19"/>
      <c r="AZ30" s="19">
        <v>207.4</v>
      </c>
      <c r="BA30" s="18">
        <f t="shared" si="7"/>
        <v>196.9</v>
      </c>
      <c r="BB30" s="19"/>
      <c r="BC30" s="19"/>
      <c r="BD30" s="19">
        <v>196.9</v>
      </c>
      <c r="BE30" s="18">
        <f t="shared" si="23"/>
        <v>164.3</v>
      </c>
      <c r="BF30" s="19"/>
      <c r="BG30" s="19"/>
      <c r="BH30" s="19">
        <v>164.3</v>
      </c>
      <c r="BI30" s="18">
        <f t="shared" si="24"/>
        <v>140.3</v>
      </c>
      <c r="BJ30" s="19"/>
      <c r="BK30" s="19"/>
      <c r="BL30" s="19">
        <v>140.3</v>
      </c>
      <c r="BM30" s="18">
        <f t="shared" si="21"/>
        <v>140.2</v>
      </c>
      <c r="BN30" s="19"/>
      <c r="BO30" s="19"/>
      <c r="BP30" s="19">
        <v>140.2</v>
      </c>
      <c r="BQ30" s="18">
        <f t="shared" si="22"/>
        <v>150.7</v>
      </c>
      <c r="BR30" s="19"/>
      <c r="BS30" s="19"/>
      <c r="BT30" s="20">
        <v>150.7</v>
      </c>
      <c r="BU30" s="18">
        <f t="shared" si="27"/>
        <v>70.2</v>
      </c>
      <c r="BV30" s="19"/>
      <c r="BW30" s="19"/>
      <c r="BX30" s="19">
        <f>60.2+10</f>
        <v>70.2</v>
      </c>
      <c r="BY30" s="18">
        <f t="shared" si="28"/>
        <v>36.9</v>
      </c>
      <c r="BZ30" s="19"/>
      <c r="CA30" s="19"/>
      <c r="CB30" s="20">
        <v>36.9</v>
      </c>
    </row>
    <row r="31" spans="2:80" ht="12.75">
      <c r="B31" s="15">
        <v>28</v>
      </c>
      <c r="C31" s="16" t="s">
        <v>28</v>
      </c>
      <c r="D31" s="17">
        <f t="shared" si="16"/>
        <v>2716.8000000000006</v>
      </c>
      <c r="E31" s="18"/>
      <c r="F31" s="19"/>
      <c r="G31" s="19"/>
      <c r="H31" s="19"/>
      <c r="I31" s="18"/>
      <c r="J31" s="19"/>
      <c r="K31" s="19"/>
      <c r="L31" s="19"/>
      <c r="M31" s="18">
        <f t="shared" si="14"/>
        <v>205.9</v>
      </c>
      <c r="N31" s="19"/>
      <c r="O31" s="19">
        <v>205.9</v>
      </c>
      <c r="P31" s="19"/>
      <c r="Q31" s="18">
        <f t="shared" si="15"/>
        <v>193.9</v>
      </c>
      <c r="R31" s="19"/>
      <c r="S31" s="19">
        <v>193.9</v>
      </c>
      <c r="T31" s="19"/>
      <c r="U31" s="18">
        <f t="shared" si="25"/>
        <v>132.8</v>
      </c>
      <c r="V31" s="19"/>
      <c r="W31" s="19">
        <v>132.8</v>
      </c>
      <c r="X31" s="19"/>
      <c r="Y31" s="18">
        <f t="shared" si="26"/>
        <v>184.2</v>
      </c>
      <c r="Z31" s="19"/>
      <c r="AA31" s="19">
        <v>184.2</v>
      </c>
      <c r="AB31" s="19"/>
      <c r="AC31" s="18">
        <f t="shared" si="2"/>
        <v>217.2</v>
      </c>
      <c r="AD31" s="19"/>
      <c r="AE31" s="19">
        <v>217.2</v>
      </c>
      <c r="AF31" s="19"/>
      <c r="AG31" s="18">
        <f t="shared" si="3"/>
        <v>209.4</v>
      </c>
      <c r="AH31" s="19"/>
      <c r="AI31" s="19">
        <v>209.4</v>
      </c>
      <c r="AJ31" s="19"/>
      <c r="AK31" s="18">
        <f t="shared" si="4"/>
        <v>307.7</v>
      </c>
      <c r="AL31" s="19">
        <v>62.9</v>
      </c>
      <c r="AM31" s="19">
        <v>244.8</v>
      </c>
      <c r="AN31" s="19"/>
      <c r="AO31" s="18">
        <f>+AP31+AQ31+AR31</f>
        <v>273.3</v>
      </c>
      <c r="AP31" s="19"/>
      <c r="AQ31" s="19">
        <v>273.3</v>
      </c>
      <c r="AR31" s="19"/>
      <c r="AS31" s="18">
        <f t="shared" si="5"/>
        <v>213.7</v>
      </c>
      <c r="AT31" s="19"/>
      <c r="AU31" s="19">
        <v>213.7</v>
      </c>
      <c r="AV31" s="19"/>
      <c r="AW31" s="18">
        <f t="shared" si="6"/>
        <v>210</v>
      </c>
      <c r="AX31" s="19"/>
      <c r="AY31" s="19">
        <v>210</v>
      </c>
      <c r="AZ31" s="19"/>
      <c r="BA31" s="18">
        <f t="shared" si="7"/>
        <v>144.8</v>
      </c>
      <c r="BB31" s="19"/>
      <c r="BC31" s="19">
        <v>144.8</v>
      </c>
      <c r="BD31" s="19"/>
      <c r="BE31" s="18"/>
      <c r="BF31" s="19"/>
      <c r="BG31" s="19"/>
      <c r="BH31" s="19"/>
      <c r="BI31" s="18"/>
      <c r="BJ31" s="19"/>
      <c r="BK31" s="19"/>
      <c r="BL31" s="19"/>
      <c r="BM31" s="18">
        <f t="shared" si="21"/>
        <v>121.5</v>
      </c>
      <c r="BN31" s="19"/>
      <c r="BO31" s="19">
        <v>121.5</v>
      </c>
      <c r="BP31" s="19"/>
      <c r="BQ31" s="18">
        <f t="shared" si="22"/>
        <v>102.3</v>
      </c>
      <c r="BR31" s="19"/>
      <c r="BS31" s="19">
        <v>102.3</v>
      </c>
      <c r="BT31" s="20"/>
      <c r="BU31" s="18">
        <f t="shared" si="27"/>
        <v>111.9</v>
      </c>
      <c r="BV31" s="19"/>
      <c r="BW31" s="19">
        <v>111.9</v>
      </c>
      <c r="BX31" s="19"/>
      <c r="BY31" s="18">
        <f t="shared" si="28"/>
        <v>88.2</v>
      </c>
      <c r="BZ31" s="19"/>
      <c r="CA31" s="19">
        <v>88.2</v>
      </c>
      <c r="CB31" s="20"/>
    </row>
    <row r="32" spans="2:80" ht="12.75">
      <c r="B32" s="15">
        <v>29</v>
      </c>
      <c r="C32" s="16" t="s">
        <v>25</v>
      </c>
      <c r="D32" s="17">
        <f t="shared" si="16"/>
        <v>2713.8</v>
      </c>
      <c r="E32" s="18"/>
      <c r="F32" s="19"/>
      <c r="G32" s="19"/>
      <c r="H32" s="19"/>
      <c r="I32" s="18"/>
      <c r="J32" s="19"/>
      <c r="K32" s="19"/>
      <c r="L32" s="19"/>
      <c r="M32" s="18"/>
      <c r="N32" s="19"/>
      <c r="O32" s="19"/>
      <c r="P32" s="19"/>
      <c r="Q32" s="18"/>
      <c r="R32" s="19"/>
      <c r="S32" s="19"/>
      <c r="T32" s="19"/>
      <c r="U32" s="18">
        <f t="shared" si="25"/>
        <v>197.8</v>
      </c>
      <c r="V32" s="19"/>
      <c r="W32" s="19">
        <v>121.7</v>
      </c>
      <c r="X32" s="19">
        <v>76.1</v>
      </c>
      <c r="Y32" s="18">
        <f t="shared" si="26"/>
        <v>239.2</v>
      </c>
      <c r="Z32" s="19"/>
      <c r="AA32" s="19">
        <v>158.7</v>
      </c>
      <c r="AB32" s="19">
        <v>80.5</v>
      </c>
      <c r="AC32" s="18"/>
      <c r="AD32" s="19"/>
      <c r="AE32" s="19"/>
      <c r="AF32" s="19"/>
      <c r="AG32" s="18"/>
      <c r="AH32" s="19"/>
      <c r="AI32" s="19"/>
      <c r="AJ32" s="19"/>
      <c r="AK32" s="18">
        <f t="shared" si="4"/>
        <v>46.9</v>
      </c>
      <c r="AL32" s="19"/>
      <c r="AM32" s="19">
        <v>46.9</v>
      </c>
      <c r="AN32" s="19"/>
      <c r="AO32" s="18">
        <f>+AP32+AQ32+AR32</f>
        <v>147.4</v>
      </c>
      <c r="AP32" s="19"/>
      <c r="AQ32" s="19">
        <v>89.2</v>
      </c>
      <c r="AR32" s="19">
        <v>58.2</v>
      </c>
      <c r="AS32" s="18">
        <f t="shared" si="5"/>
        <v>81.5</v>
      </c>
      <c r="AT32" s="19"/>
      <c r="AU32" s="19">
        <v>81.5</v>
      </c>
      <c r="AV32" s="19"/>
      <c r="AW32" s="18">
        <f t="shared" si="6"/>
        <v>100.8</v>
      </c>
      <c r="AX32" s="19"/>
      <c r="AY32" s="19">
        <v>90.8</v>
      </c>
      <c r="AZ32" s="19">
        <v>10</v>
      </c>
      <c r="BA32" s="18">
        <f t="shared" si="7"/>
        <v>46.2</v>
      </c>
      <c r="BB32" s="19"/>
      <c r="BC32" s="19">
        <v>46.2</v>
      </c>
      <c r="BD32" s="19"/>
      <c r="BE32" s="18">
        <f t="shared" si="23"/>
        <v>454.3</v>
      </c>
      <c r="BF32" s="19"/>
      <c r="BG32" s="19">
        <v>379.5</v>
      </c>
      <c r="BH32" s="19">
        <v>74.8</v>
      </c>
      <c r="BI32" s="18">
        <f t="shared" si="24"/>
        <v>429.2</v>
      </c>
      <c r="BJ32" s="19"/>
      <c r="BK32" s="19">
        <v>371.9</v>
      </c>
      <c r="BL32" s="19">
        <v>57.3</v>
      </c>
      <c r="BM32" s="18">
        <f t="shared" si="21"/>
        <v>386.6</v>
      </c>
      <c r="BN32" s="19"/>
      <c r="BO32" s="19">
        <v>386.6</v>
      </c>
      <c r="BP32" s="19"/>
      <c r="BQ32" s="18">
        <f t="shared" si="22"/>
        <v>312.9</v>
      </c>
      <c r="BR32" s="19"/>
      <c r="BS32" s="19">
        <v>312.9</v>
      </c>
      <c r="BT32" s="20"/>
      <c r="BU32" s="18">
        <f t="shared" si="27"/>
        <v>200.39999999999998</v>
      </c>
      <c r="BV32" s="19"/>
      <c r="BW32" s="19">
        <f>61.4+57.3+44.2+37.5</f>
        <v>200.39999999999998</v>
      </c>
      <c r="BX32" s="19"/>
      <c r="BY32" s="18">
        <f t="shared" si="28"/>
        <v>70.6</v>
      </c>
      <c r="BZ32" s="19"/>
      <c r="CA32" s="19">
        <f>39.5+31.1</f>
        <v>70.6</v>
      </c>
      <c r="CB32" s="20"/>
    </row>
    <row r="33" spans="2:80" ht="12.75">
      <c r="B33" s="15">
        <v>30</v>
      </c>
      <c r="C33" s="16" t="s">
        <v>62</v>
      </c>
      <c r="D33" s="17">
        <f>+E33+I33+M33+Q33+U33+Y33+AC33+AG33+AK33+AO33+AS33+AW33+BA33+BE33+BI33+BM33+BQ33+BU33+BY33</f>
        <v>2279.2</v>
      </c>
      <c r="E33" s="18"/>
      <c r="F33" s="19"/>
      <c r="G33" s="19"/>
      <c r="H33" s="19"/>
      <c r="I33" s="18"/>
      <c r="J33" s="19"/>
      <c r="K33" s="19"/>
      <c r="L33" s="19"/>
      <c r="M33" s="18"/>
      <c r="N33" s="19"/>
      <c r="O33" s="19"/>
      <c r="P33" s="19"/>
      <c r="Q33" s="18"/>
      <c r="R33" s="19"/>
      <c r="S33" s="19"/>
      <c r="T33" s="19"/>
      <c r="U33" s="18"/>
      <c r="V33" s="19"/>
      <c r="W33" s="19"/>
      <c r="X33" s="19"/>
      <c r="Y33" s="18"/>
      <c r="Z33" s="19"/>
      <c r="AA33" s="19"/>
      <c r="AB33" s="19"/>
      <c r="AC33" s="18">
        <f>+AD33+AE33+AF33</f>
        <v>319</v>
      </c>
      <c r="AD33" s="19">
        <v>47.9</v>
      </c>
      <c r="AE33" s="19"/>
      <c r="AF33" s="19">
        <v>271.1</v>
      </c>
      <c r="AG33" s="18">
        <f>+AH33+AI33+AJ33</f>
        <v>261.4</v>
      </c>
      <c r="AH33" s="19">
        <v>28.4</v>
      </c>
      <c r="AI33" s="19"/>
      <c r="AJ33" s="19">
        <v>233</v>
      </c>
      <c r="AK33" s="18">
        <f>+AL33+AM33+AN33</f>
        <v>227.7</v>
      </c>
      <c r="AL33" s="19">
        <v>35.5</v>
      </c>
      <c r="AM33" s="19"/>
      <c r="AN33" s="19">
        <v>192.2</v>
      </c>
      <c r="AO33" s="18">
        <f>+AP33+AQ33+AR33</f>
        <v>51.1</v>
      </c>
      <c r="AP33" s="19"/>
      <c r="AQ33" s="19"/>
      <c r="AR33" s="19">
        <v>51.1</v>
      </c>
      <c r="AS33" s="18"/>
      <c r="AT33" s="19"/>
      <c r="AU33" s="19"/>
      <c r="AV33" s="19"/>
      <c r="AW33" s="18"/>
      <c r="AX33" s="19"/>
      <c r="AY33" s="19"/>
      <c r="AZ33" s="19"/>
      <c r="BA33" s="18"/>
      <c r="BB33" s="19"/>
      <c r="BC33" s="19"/>
      <c r="BD33" s="19"/>
      <c r="BE33" s="18">
        <f>+BF33+BG33+BH33</f>
        <v>138.1</v>
      </c>
      <c r="BF33" s="19"/>
      <c r="BG33" s="19"/>
      <c r="BH33" s="19">
        <v>138.1</v>
      </c>
      <c r="BI33" s="18">
        <f>+BJ33+BK33+BL33</f>
        <v>100</v>
      </c>
      <c r="BJ33" s="19"/>
      <c r="BK33" s="19"/>
      <c r="BL33" s="19">
        <v>100</v>
      </c>
      <c r="BM33" s="18">
        <f>+BN33+BO33+BP33</f>
        <v>264.9</v>
      </c>
      <c r="BN33" s="19">
        <v>30.9</v>
      </c>
      <c r="BO33" s="19"/>
      <c r="BP33" s="19">
        <v>234</v>
      </c>
      <c r="BQ33" s="18">
        <f>+BR33+BS33+BT33</f>
        <v>311.5</v>
      </c>
      <c r="BR33" s="19">
        <v>57.9</v>
      </c>
      <c r="BS33" s="19"/>
      <c r="BT33" s="20">
        <v>253.6</v>
      </c>
      <c r="BU33" s="18">
        <f>+BV33+BW33+BX33</f>
        <v>397.4</v>
      </c>
      <c r="BV33" s="19">
        <v>35.4</v>
      </c>
      <c r="BW33" s="19">
        <v>66.7</v>
      </c>
      <c r="BX33" s="19">
        <f>78.1+64.3+61.1+50.9+40.9</f>
        <v>295.29999999999995</v>
      </c>
      <c r="BY33" s="18">
        <f>+BZ33+CA33+CB33</f>
        <v>208.1</v>
      </c>
      <c r="BZ33" s="19"/>
      <c r="CA33" s="19">
        <v>57.5</v>
      </c>
      <c r="CB33" s="20">
        <f>69.9+52.1+28.6</f>
        <v>150.6</v>
      </c>
    </row>
    <row r="34" spans="2:80" ht="12.75">
      <c r="B34" s="15">
        <v>31</v>
      </c>
      <c r="C34" s="16" t="s">
        <v>27</v>
      </c>
      <c r="D34" s="17">
        <f t="shared" si="16"/>
        <v>2250.9</v>
      </c>
      <c r="E34" s="18">
        <f>+F34+G34+H34</f>
        <v>99.9</v>
      </c>
      <c r="F34" s="19"/>
      <c r="G34" s="19"/>
      <c r="H34" s="19">
        <v>99.9</v>
      </c>
      <c r="I34" s="18">
        <f>+J34+K34+L34</f>
        <v>100</v>
      </c>
      <c r="J34" s="19"/>
      <c r="K34" s="19"/>
      <c r="L34" s="19">
        <v>100</v>
      </c>
      <c r="M34" s="18">
        <f t="shared" si="14"/>
        <v>128.3</v>
      </c>
      <c r="N34" s="19"/>
      <c r="O34" s="19"/>
      <c r="P34" s="19">
        <v>128.3</v>
      </c>
      <c r="Q34" s="18">
        <f t="shared" si="15"/>
        <v>138.9</v>
      </c>
      <c r="R34" s="19"/>
      <c r="S34" s="19"/>
      <c r="T34" s="19">
        <v>138.9</v>
      </c>
      <c r="U34" s="18">
        <f t="shared" si="25"/>
        <v>160.5</v>
      </c>
      <c r="V34" s="19"/>
      <c r="W34" s="19"/>
      <c r="X34" s="19">
        <v>160.5</v>
      </c>
      <c r="Y34" s="18">
        <f t="shared" si="26"/>
        <v>129.3</v>
      </c>
      <c r="Z34" s="19"/>
      <c r="AA34" s="19"/>
      <c r="AB34" s="19">
        <v>129.3</v>
      </c>
      <c r="AC34" s="18"/>
      <c r="AD34" s="19"/>
      <c r="AE34" s="19"/>
      <c r="AF34" s="19"/>
      <c r="AG34" s="18"/>
      <c r="AH34" s="19"/>
      <c r="AI34" s="19"/>
      <c r="AJ34" s="19"/>
      <c r="AK34" s="18">
        <f t="shared" si="4"/>
        <v>156</v>
      </c>
      <c r="AL34" s="19"/>
      <c r="AM34" s="19"/>
      <c r="AN34" s="19">
        <v>156</v>
      </c>
      <c r="AO34" s="18">
        <f>+AP34+AQ34+AR34</f>
        <v>153.7</v>
      </c>
      <c r="AP34" s="19"/>
      <c r="AQ34" s="19"/>
      <c r="AR34" s="19">
        <v>153.7</v>
      </c>
      <c r="AS34" s="18">
        <f t="shared" si="5"/>
        <v>149.1</v>
      </c>
      <c r="AT34" s="19"/>
      <c r="AU34" s="19"/>
      <c r="AV34" s="19">
        <v>149.1</v>
      </c>
      <c r="AW34" s="18">
        <f t="shared" si="6"/>
        <v>66.8</v>
      </c>
      <c r="AX34" s="19"/>
      <c r="AY34" s="19"/>
      <c r="AZ34" s="19">
        <v>66.8</v>
      </c>
      <c r="BA34" s="18">
        <f t="shared" si="7"/>
        <v>75</v>
      </c>
      <c r="BB34" s="19"/>
      <c r="BC34" s="19"/>
      <c r="BD34" s="19">
        <v>75</v>
      </c>
      <c r="BE34" s="18">
        <f t="shared" si="23"/>
        <v>240.2</v>
      </c>
      <c r="BF34" s="19"/>
      <c r="BG34" s="19">
        <v>75.7</v>
      </c>
      <c r="BH34" s="19">
        <v>164.5</v>
      </c>
      <c r="BI34" s="18">
        <f t="shared" si="24"/>
        <v>119.8</v>
      </c>
      <c r="BJ34" s="19"/>
      <c r="BK34" s="19"/>
      <c r="BL34" s="19">
        <v>119.8</v>
      </c>
      <c r="BM34" s="18">
        <f t="shared" si="21"/>
        <v>142.7</v>
      </c>
      <c r="BN34" s="19"/>
      <c r="BO34" s="19"/>
      <c r="BP34" s="19">
        <v>142.7</v>
      </c>
      <c r="BQ34" s="18">
        <f t="shared" si="22"/>
        <v>162.9</v>
      </c>
      <c r="BR34" s="19"/>
      <c r="BS34" s="19"/>
      <c r="BT34" s="20">
        <v>162.9</v>
      </c>
      <c r="BU34" s="18">
        <f t="shared" si="27"/>
        <v>130.3</v>
      </c>
      <c r="BV34" s="19"/>
      <c r="BW34" s="19"/>
      <c r="BX34" s="19">
        <f>72.1+58.2</f>
        <v>130.3</v>
      </c>
      <c r="BY34" s="18">
        <f t="shared" si="28"/>
        <v>97.5</v>
      </c>
      <c r="BZ34" s="19"/>
      <c r="CA34" s="19"/>
      <c r="CB34" s="20">
        <f>68.5+29</f>
        <v>97.5</v>
      </c>
    </row>
    <row r="35" spans="2:80" ht="12.75">
      <c r="B35" s="15">
        <v>32</v>
      </c>
      <c r="C35" s="16" t="s">
        <v>29</v>
      </c>
      <c r="D35" s="17">
        <f t="shared" si="16"/>
        <v>2091.8999999999996</v>
      </c>
      <c r="E35" s="18">
        <f>+F35+G35+H35</f>
        <v>75</v>
      </c>
      <c r="F35" s="19"/>
      <c r="G35" s="19"/>
      <c r="H35" s="19">
        <v>75</v>
      </c>
      <c r="I35" s="18">
        <f>+J35+K35+L35</f>
        <v>75</v>
      </c>
      <c r="J35" s="19"/>
      <c r="K35" s="19"/>
      <c r="L35" s="19">
        <v>75</v>
      </c>
      <c r="M35" s="18">
        <f t="shared" si="14"/>
        <v>144.7</v>
      </c>
      <c r="N35" s="19"/>
      <c r="O35" s="19">
        <v>69.7</v>
      </c>
      <c r="P35" s="19">
        <v>75</v>
      </c>
      <c r="Q35" s="18">
        <f t="shared" si="15"/>
        <v>64.5</v>
      </c>
      <c r="R35" s="19"/>
      <c r="S35" s="19">
        <v>54.5</v>
      </c>
      <c r="T35" s="19">
        <v>10</v>
      </c>
      <c r="U35" s="18">
        <f t="shared" si="25"/>
        <v>146.3</v>
      </c>
      <c r="V35" s="19"/>
      <c r="W35" s="19">
        <v>71.3</v>
      </c>
      <c r="X35" s="19">
        <v>75</v>
      </c>
      <c r="Y35" s="18">
        <f t="shared" si="26"/>
        <v>144.9</v>
      </c>
      <c r="Z35" s="19"/>
      <c r="AA35" s="19">
        <v>69.9</v>
      </c>
      <c r="AB35" s="19">
        <v>75</v>
      </c>
      <c r="AC35" s="18">
        <f t="shared" si="2"/>
        <v>118.1</v>
      </c>
      <c r="AD35" s="19"/>
      <c r="AE35" s="19">
        <v>50.4</v>
      </c>
      <c r="AF35" s="19">
        <v>67.7</v>
      </c>
      <c r="AG35" s="18">
        <f t="shared" si="3"/>
        <v>72.5</v>
      </c>
      <c r="AH35" s="19"/>
      <c r="AI35" s="19"/>
      <c r="AJ35" s="19">
        <v>72.5</v>
      </c>
      <c r="AK35" s="18">
        <f t="shared" si="4"/>
        <v>139.1</v>
      </c>
      <c r="AL35" s="19"/>
      <c r="AM35" s="19">
        <v>64.1</v>
      </c>
      <c r="AN35" s="19">
        <v>75</v>
      </c>
      <c r="AO35" s="18">
        <f aca="true" t="shared" si="29" ref="AO35:AO41">+AP35+AQ35+AR35</f>
        <v>139.8</v>
      </c>
      <c r="AP35" s="19"/>
      <c r="AQ35" s="19">
        <v>72.3</v>
      </c>
      <c r="AR35" s="19">
        <v>67.5</v>
      </c>
      <c r="AS35" s="18">
        <f t="shared" si="5"/>
        <v>53.3</v>
      </c>
      <c r="AT35" s="19"/>
      <c r="AU35" s="19"/>
      <c r="AV35" s="19">
        <v>53.3</v>
      </c>
      <c r="AW35" s="18">
        <f t="shared" si="6"/>
        <v>119.6</v>
      </c>
      <c r="AX35" s="19"/>
      <c r="AY35" s="19">
        <v>44.6</v>
      </c>
      <c r="AZ35" s="19">
        <v>75</v>
      </c>
      <c r="BA35" s="18">
        <f t="shared" si="7"/>
        <v>68.3</v>
      </c>
      <c r="BB35" s="19"/>
      <c r="BC35" s="19"/>
      <c r="BD35" s="19">
        <v>68.3</v>
      </c>
      <c r="BE35" s="18">
        <f t="shared" si="23"/>
        <v>130.8</v>
      </c>
      <c r="BF35" s="19"/>
      <c r="BG35" s="19">
        <v>55.8</v>
      </c>
      <c r="BH35" s="19">
        <v>75</v>
      </c>
      <c r="BI35" s="18">
        <f t="shared" si="24"/>
        <v>133.1</v>
      </c>
      <c r="BJ35" s="19"/>
      <c r="BK35" s="19">
        <v>58.1</v>
      </c>
      <c r="BL35" s="19">
        <v>75</v>
      </c>
      <c r="BM35" s="18">
        <f t="shared" si="21"/>
        <v>137.6</v>
      </c>
      <c r="BN35" s="19"/>
      <c r="BO35" s="19">
        <v>74.6</v>
      </c>
      <c r="BP35" s="19">
        <v>63</v>
      </c>
      <c r="BQ35" s="18">
        <f t="shared" si="22"/>
        <v>80.3</v>
      </c>
      <c r="BR35" s="19"/>
      <c r="BS35" s="19">
        <v>10</v>
      </c>
      <c r="BT35" s="20">
        <v>70.3</v>
      </c>
      <c r="BU35" s="18">
        <f t="shared" si="27"/>
        <v>138</v>
      </c>
      <c r="BV35" s="19"/>
      <c r="BW35" s="19">
        <v>63</v>
      </c>
      <c r="BX35" s="19">
        <v>75</v>
      </c>
      <c r="BY35" s="18">
        <f t="shared" si="28"/>
        <v>111</v>
      </c>
      <c r="BZ35" s="19"/>
      <c r="CA35" s="19">
        <v>46.4</v>
      </c>
      <c r="CB35" s="20">
        <v>64.6</v>
      </c>
    </row>
    <row r="36" spans="2:80" ht="12.75">
      <c r="B36" s="15">
        <v>33</v>
      </c>
      <c r="C36" s="16" t="s">
        <v>34</v>
      </c>
      <c r="D36" s="17">
        <f t="shared" si="16"/>
        <v>1983.9999999999998</v>
      </c>
      <c r="E36" s="18"/>
      <c r="F36" s="19"/>
      <c r="G36" s="19"/>
      <c r="H36" s="19"/>
      <c r="I36" s="18"/>
      <c r="J36" s="19"/>
      <c r="K36" s="19"/>
      <c r="L36" s="19"/>
      <c r="M36" s="18">
        <f t="shared" si="14"/>
        <v>83.8</v>
      </c>
      <c r="N36" s="19"/>
      <c r="O36" s="19"/>
      <c r="P36" s="19">
        <v>83.8</v>
      </c>
      <c r="Q36" s="18">
        <f t="shared" si="15"/>
        <v>68.9</v>
      </c>
      <c r="R36" s="19"/>
      <c r="S36" s="19"/>
      <c r="T36" s="19">
        <v>68.9</v>
      </c>
      <c r="U36" s="18">
        <f t="shared" si="25"/>
        <v>38.6</v>
      </c>
      <c r="V36" s="19"/>
      <c r="W36" s="19">
        <v>38.6</v>
      </c>
      <c r="X36" s="19"/>
      <c r="Y36" s="18">
        <f t="shared" si="26"/>
        <v>27.1</v>
      </c>
      <c r="Z36" s="19"/>
      <c r="AA36" s="19">
        <v>27.1</v>
      </c>
      <c r="AB36" s="19"/>
      <c r="AC36" s="18"/>
      <c r="AD36" s="19"/>
      <c r="AE36" s="19"/>
      <c r="AF36" s="19"/>
      <c r="AG36" s="18"/>
      <c r="AH36" s="19"/>
      <c r="AI36" s="19"/>
      <c r="AJ36" s="19"/>
      <c r="AK36" s="18">
        <f t="shared" si="4"/>
        <v>158.3</v>
      </c>
      <c r="AL36" s="19"/>
      <c r="AM36" s="19">
        <v>71.2</v>
      </c>
      <c r="AN36" s="19">
        <v>87.1</v>
      </c>
      <c r="AO36" s="18">
        <f t="shared" si="29"/>
        <v>151.5</v>
      </c>
      <c r="AP36" s="19"/>
      <c r="AQ36" s="19">
        <v>58.8</v>
      </c>
      <c r="AR36" s="19">
        <v>92.7</v>
      </c>
      <c r="AS36" s="18">
        <f t="shared" si="5"/>
        <v>185.3</v>
      </c>
      <c r="AT36" s="19"/>
      <c r="AU36" s="19">
        <v>58.6</v>
      </c>
      <c r="AV36" s="19">
        <v>126.7</v>
      </c>
      <c r="AW36" s="18">
        <f t="shared" si="6"/>
        <v>165.10000000000002</v>
      </c>
      <c r="AX36" s="19"/>
      <c r="AY36" s="19">
        <v>52.2</v>
      </c>
      <c r="AZ36" s="19">
        <v>112.9</v>
      </c>
      <c r="BA36" s="18">
        <f t="shared" si="7"/>
        <v>240.60000000000002</v>
      </c>
      <c r="BB36" s="19"/>
      <c r="BC36" s="19">
        <v>88.2</v>
      </c>
      <c r="BD36" s="19">
        <v>152.4</v>
      </c>
      <c r="BE36" s="18">
        <f t="shared" si="23"/>
        <v>186.3</v>
      </c>
      <c r="BF36" s="19"/>
      <c r="BG36" s="19">
        <v>120.2</v>
      </c>
      <c r="BH36" s="19">
        <v>66.1</v>
      </c>
      <c r="BI36" s="18">
        <f t="shared" si="24"/>
        <v>127.60000000000001</v>
      </c>
      <c r="BJ36" s="19"/>
      <c r="BK36" s="19">
        <v>71.4</v>
      </c>
      <c r="BL36" s="19">
        <v>56.2</v>
      </c>
      <c r="BM36" s="18">
        <f t="shared" si="21"/>
        <v>109.30000000000001</v>
      </c>
      <c r="BN36" s="19"/>
      <c r="BO36" s="19">
        <v>56.6</v>
      </c>
      <c r="BP36" s="19">
        <v>52.7</v>
      </c>
      <c r="BQ36" s="18">
        <f t="shared" si="22"/>
        <v>159.6</v>
      </c>
      <c r="BR36" s="19"/>
      <c r="BS36" s="19">
        <v>42.6</v>
      </c>
      <c r="BT36" s="20">
        <v>117</v>
      </c>
      <c r="BU36" s="18">
        <f t="shared" si="27"/>
        <v>208</v>
      </c>
      <c r="BV36" s="19"/>
      <c r="BW36" s="19">
        <f>63+43.3</f>
        <v>106.3</v>
      </c>
      <c r="BX36" s="19">
        <f>63.7+38</f>
        <v>101.7</v>
      </c>
      <c r="BY36" s="18">
        <f t="shared" si="28"/>
        <v>74</v>
      </c>
      <c r="BZ36" s="19"/>
      <c r="CA36" s="19">
        <v>39.4</v>
      </c>
      <c r="CB36" s="20">
        <v>34.6</v>
      </c>
    </row>
    <row r="37" spans="2:80" ht="12.75">
      <c r="B37" s="15">
        <v>34</v>
      </c>
      <c r="C37" s="16" t="s">
        <v>31</v>
      </c>
      <c r="D37" s="17">
        <f>+E37+I37+M37+Q37+U37+Y37+AC37+AG37+AK37+AO37+AS37+AW37+BA37+BE37+BI37+BM37+BQ37+BU37+BY37</f>
        <v>1858.1</v>
      </c>
      <c r="E37" s="18"/>
      <c r="F37" s="19"/>
      <c r="G37" s="19"/>
      <c r="H37" s="19"/>
      <c r="I37" s="18"/>
      <c r="J37" s="19"/>
      <c r="K37" s="19"/>
      <c r="L37" s="19"/>
      <c r="M37" s="18"/>
      <c r="N37" s="19"/>
      <c r="O37" s="19"/>
      <c r="P37" s="19"/>
      <c r="Q37" s="18"/>
      <c r="R37" s="19"/>
      <c r="S37" s="19"/>
      <c r="T37" s="19"/>
      <c r="U37" s="18">
        <f>+V37+W37+X37</f>
        <v>126.3</v>
      </c>
      <c r="V37" s="19"/>
      <c r="W37" s="19">
        <v>126.3</v>
      </c>
      <c r="X37" s="19"/>
      <c r="Y37" s="18">
        <f>+Z37+AA37+AB37</f>
        <v>126.3</v>
      </c>
      <c r="Z37" s="19"/>
      <c r="AA37" s="19">
        <v>126.3</v>
      </c>
      <c r="AB37" s="19"/>
      <c r="AC37" s="18"/>
      <c r="AD37" s="19"/>
      <c r="AE37" s="19"/>
      <c r="AF37" s="19"/>
      <c r="AG37" s="18"/>
      <c r="AH37" s="19"/>
      <c r="AI37" s="19"/>
      <c r="AJ37" s="19"/>
      <c r="AK37" s="18">
        <f>+AL37+AM37+AN37</f>
        <v>204.4</v>
      </c>
      <c r="AL37" s="19"/>
      <c r="AM37" s="19">
        <v>204.4</v>
      </c>
      <c r="AN37" s="19"/>
      <c r="AO37" s="18">
        <f>+AP37+AQ37+AR37</f>
        <v>196.8</v>
      </c>
      <c r="AP37" s="19"/>
      <c r="AQ37" s="19">
        <v>196.8</v>
      </c>
      <c r="AR37" s="19"/>
      <c r="AS37" s="18">
        <f>+AT37+AU37+AV37</f>
        <v>189.6</v>
      </c>
      <c r="AT37" s="19"/>
      <c r="AU37" s="19">
        <v>189.6</v>
      </c>
      <c r="AV37" s="19"/>
      <c r="AW37" s="18">
        <f>+AX37+AY37+AZ37</f>
        <v>96.1</v>
      </c>
      <c r="AX37" s="19"/>
      <c r="AY37" s="19">
        <v>96.1</v>
      </c>
      <c r="AZ37" s="19"/>
      <c r="BA37" s="18">
        <f>+BB37+BC37+BD37</f>
        <v>202.7</v>
      </c>
      <c r="BB37" s="19"/>
      <c r="BC37" s="19">
        <v>202.7</v>
      </c>
      <c r="BD37" s="19"/>
      <c r="BE37" s="18">
        <f>+BF37+BG37+BH37</f>
        <v>115</v>
      </c>
      <c r="BF37" s="19"/>
      <c r="BG37" s="19">
        <v>115</v>
      </c>
      <c r="BH37" s="19"/>
      <c r="BI37" s="18">
        <f>+BJ37+BK37+BL37</f>
        <v>127</v>
      </c>
      <c r="BJ37" s="19"/>
      <c r="BK37" s="19">
        <v>127</v>
      </c>
      <c r="BL37" s="19"/>
      <c r="BM37" s="18">
        <f>+BN37+BO37+BP37</f>
        <v>129.6</v>
      </c>
      <c r="BN37" s="19"/>
      <c r="BO37" s="19">
        <v>129.6</v>
      </c>
      <c r="BP37" s="19"/>
      <c r="BQ37" s="18">
        <f>+BR37+BS37+BT37</f>
        <v>99.3</v>
      </c>
      <c r="BR37" s="19"/>
      <c r="BS37" s="19">
        <v>99.3</v>
      </c>
      <c r="BT37" s="20"/>
      <c r="BU37" s="18">
        <f>+BV37+BW37+BX37</f>
        <v>146.9</v>
      </c>
      <c r="BV37" s="19"/>
      <c r="BW37" s="19">
        <f>85.2+61.7</f>
        <v>146.9</v>
      </c>
      <c r="BX37" s="19"/>
      <c r="BY37" s="18">
        <f>+BZ37+CA37+CB37</f>
        <v>98.1</v>
      </c>
      <c r="BZ37" s="19"/>
      <c r="CA37" s="19">
        <f>58+40.1</f>
        <v>98.1</v>
      </c>
      <c r="CB37" s="20"/>
    </row>
    <row r="38" spans="2:80" ht="12.75">
      <c r="B38" s="15">
        <v>35</v>
      </c>
      <c r="C38" s="16" t="s">
        <v>32</v>
      </c>
      <c r="D38" s="17">
        <f t="shared" si="16"/>
        <v>1721.6000000000004</v>
      </c>
      <c r="E38" s="18"/>
      <c r="F38" s="19"/>
      <c r="G38" s="19"/>
      <c r="H38" s="19"/>
      <c r="I38" s="18"/>
      <c r="J38" s="19"/>
      <c r="K38" s="19"/>
      <c r="L38" s="19"/>
      <c r="M38" s="18">
        <f>+N38+O38+P38</f>
        <v>117.9</v>
      </c>
      <c r="N38" s="19"/>
      <c r="O38" s="19">
        <v>117.9</v>
      </c>
      <c r="P38" s="19"/>
      <c r="Q38" s="18">
        <f>+R38+S38+T38</f>
        <v>133.5</v>
      </c>
      <c r="R38" s="19"/>
      <c r="S38" s="19">
        <v>133.5</v>
      </c>
      <c r="T38" s="19"/>
      <c r="U38" s="18">
        <f>+V38+W38+X38</f>
        <v>97.1</v>
      </c>
      <c r="V38" s="19"/>
      <c r="W38" s="19">
        <v>97.1</v>
      </c>
      <c r="X38" s="19"/>
      <c r="Y38" s="18">
        <f>+Z38+AA38+AB38</f>
        <v>135</v>
      </c>
      <c r="Z38" s="19"/>
      <c r="AA38" s="19">
        <v>135</v>
      </c>
      <c r="AB38" s="19"/>
      <c r="AC38" s="18">
        <f>+AD38+AE38+AF38</f>
        <v>51.6</v>
      </c>
      <c r="AD38" s="19"/>
      <c r="AE38" s="19">
        <v>51.6</v>
      </c>
      <c r="AF38" s="19"/>
      <c r="AG38" s="18">
        <f>+AH38+AI38+AJ38</f>
        <v>122.7</v>
      </c>
      <c r="AH38" s="19"/>
      <c r="AI38" s="19">
        <v>122.7</v>
      </c>
      <c r="AJ38" s="19"/>
      <c r="AK38" s="18">
        <f>+AL38+AM38+AN38</f>
        <v>112</v>
      </c>
      <c r="AL38" s="19"/>
      <c r="AM38" s="19">
        <v>112</v>
      </c>
      <c r="AN38" s="19"/>
      <c r="AO38" s="18">
        <f t="shared" si="29"/>
        <v>125.6</v>
      </c>
      <c r="AP38" s="19"/>
      <c r="AQ38" s="19">
        <v>125.6</v>
      </c>
      <c r="AR38" s="19"/>
      <c r="AS38" s="18">
        <f t="shared" si="5"/>
        <v>57.3</v>
      </c>
      <c r="AT38" s="19"/>
      <c r="AU38" s="19">
        <v>57.3</v>
      </c>
      <c r="AV38" s="19"/>
      <c r="AW38" s="18">
        <f t="shared" si="6"/>
        <v>101.9</v>
      </c>
      <c r="AX38" s="19"/>
      <c r="AY38" s="19">
        <v>101.9</v>
      </c>
      <c r="AZ38" s="19"/>
      <c r="BA38" s="18">
        <f t="shared" si="7"/>
        <v>135.3</v>
      </c>
      <c r="BB38" s="19"/>
      <c r="BC38" s="19">
        <v>135.3</v>
      </c>
      <c r="BD38" s="19"/>
      <c r="BE38" s="18">
        <f>+BF38+BG38+BH38</f>
        <v>136.9</v>
      </c>
      <c r="BF38" s="19"/>
      <c r="BG38" s="19">
        <v>136.9</v>
      </c>
      <c r="BH38" s="19"/>
      <c r="BI38" s="18">
        <f>+BJ38+BK38+BL38</f>
        <v>115.8</v>
      </c>
      <c r="BJ38" s="19"/>
      <c r="BK38" s="19">
        <v>115.8</v>
      </c>
      <c r="BL38" s="19"/>
      <c r="BM38" s="18">
        <f>+BN38+BO38+BP38</f>
        <v>105.9</v>
      </c>
      <c r="BN38" s="19"/>
      <c r="BO38" s="19">
        <v>105.9</v>
      </c>
      <c r="BP38" s="19"/>
      <c r="BQ38" s="18">
        <f>+BR38+BS38+BT38</f>
        <v>101.7</v>
      </c>
      <c r="BR38" s="19"/>
      <c r="BS38" s="19">
        <v>101.7</v>
      </c>
      <c r="BT38" s="20"/>
      <c r="BU38" s="18">
        <f>+BV38+BW38+BX38</f>
        <v>71.4</v>
      </c>
      <c r="BV38" s="19"/>
      <c r="BW38" s="19">
        <v>71.4</v>
      </c>
      <c r="BX38" s="19"/>
      <c r="BY38" s="18"/>
      <c r="BZ38" s="19"/>
      <c r="CA38" s="19"/>
      <c r="CB38" s="20"/>
    </row>
    <row r="39" spans="2:80" ht="12.75">
      <c r="B39" s="15">
        <v>36</v>
      </c>
      <c r="C39" s="16" t="s">
        <v>33</v>
      </c>
      <c r="D39" s="17">
        <f>+E39+I39+M39+Q39+U39+Y39+AC39+AG39+AK39+AO39+AS39+AW39+BA39+BE39+BI39+BM39+BQ39+BU39+BY39</f>
        <v>1134</v>
      </c>
      <c r="E39" s="18">
        <f>+F39+G39+H39</f>
        <v>98.6</v>
      </c>
      <c r="F39" s="19">
        <v>49.9</v>
      </c>
      <c r="G39" s="19"/>
      <c r="H39" s="19">
        <v>48.7</v>
      </c>
      <c r="I39" s="18">
        <f>+J39+K39+L39</f>
        <v>151.8</v>
      </c>
      <c r="J39" s="19">
        <v>91.8</v>
      </c>
      <c r="K39" s="19"/>
      <c r="L39" s="19">
        <v>60</v>
      </c>
      <c r="M39" s="18">
        <f>+N39+O39+P39</f>
        <v>39.7</v>
      </c>
      <c r="N39" s="19"/>
      <c r="O39" s="19"/>
      <c r="P39" s="19">
        <v>39.7</v>
      </c>
      <c r="Q39" s="18">
        <f>+R39+S39+T39</f>
        <v>47.2</v>
      </c>
      <c r="R39" s="19"/>
      <c r="S39" s="19"/>
      <c r="T39" s="19">
        <v>47.2</v>
      </c>
      <c r="U39" s="18">
        <f>+V39+W39+X39</f>
        <v>72.7</v>
      </c>
      <c r="V39" s="19">
        <v>34.5</v>
      </c>
      <c r="W39" s="19"/>
      <c r="X39" s="19">
        <v>38.2</v>
      </c>
      <c r="Y39" s="18">
        <f>+Z39+AA39+AB39</f>
        <v>70.6</v>
      </c>
      <c r="Z39" s="19">
        <v>10</v>
      </c>
      <c r="AA39" s="19"/>
      <c r="AB39" s="19">
        <v>60.6</v>
      </c>
      <c r="AC39" s="18">
        <f>+AD39+AE39+AF39</f>
        <v>37.9</v>
      </c>
      <c r="AD39" s="19"/>
      <c r="AE39" s="19"/>
      <c r="AF39" s="19">
        <v>37.9</v>
      </c>
      <c r="AG39" s="18">
        <f>+AH39+AI39+AJ39</f>
        <v>59.9</v>
      </c>
      <c r="AH39" s="19"/>
      <c r="AI39" s="19"/>
      <c r="AJ39" s="19">
        <v>59.9</v>
      </c>
      <c r="AK39" s="18">
        <f>+AL39+AM39+AN39</f>
        <v>141.6</v>
      </c>
      <c r="AL39" s="19">
        <v>44.6</v>
      </c>
      <c r="AM39" s="19"/>
      <c r="AN39" s="19">
        <v>97</v>
      </c>
      <c r="AO39" s="18"/>
      <c r="AP39" s="19"/>
      <c r="AQ39" s="19"/>
      <c r="AR39" s="19"/>
      <c r="AS39" s="18">
        <f>+AT39+AU39+AV39</f>
        <v>25</v>
      </c>
      <c r="AT39" s="19"/>
      <c r="AU39" s="19"/>
      <c r="AV39" s="19">
        <v>25</v>
      </c>
      <c r="AW39" s="18"/>
      <c r="AX39" s="19"/>
      <c r="AY39" s="19"/>
      <c r="AZ39" s="19"/>
      <c r="BA39" s="18">
        <f>+BB39+BC39+BD39</f>
        <v>27.6</v>
      </c>
      <c r="BB39" s="19"/>
      <c r="BC39" s="19"/>
      <c r="BD39" s="19">
        <v>27.6</v>
      </c>
      <c r="BE39" s="18">
        <f>+BF39+BG39+BH39</f>
        <v>30.8</v>
      </c>
      <c r="BF39" s="19"/>
      <c r="BG39" s="19"/>
      <c r="BH39" s="19">
        <v>30.8</v>
      </c>
      <c r="BI39" s="18">
        <f>+BJ39+BK39+BL39</f>
        <v>35.9</v>
      </c>
      <c r="BJ39" s="19"/>
      <c r="BK39" s="19"/>
      <c r="BL39" s="19">
        <v>35.9</v>
      </c>
      <c r="BM39" s="18">
        <f>+BN39+BO39+BP39</f>
        <v>100.1</v>
      </c>
      <c r="BN39" s="19">
        <v>49.6</v>
      </c>
      <c r="BO39" s="19"/>
      <c r="BP39" s="19">
        <v>50.5</v>
      </c>
      <c r="BQ39" s="18">
        <f>+BR39+BS39+BT39</f>
        <v>62.4</v>
      </c>
      <c r="BR39" s="19">
        <v>10</v>
      </c>
      <c r="BS39" s="19"/>
      <c r="BT39" s="20">
        <v>52.4</v>
      </c>
      <c r="BU39" s="18">
        <f>+BV39+BW39+BX39</f>
        <v>132.2</v>
      </c>
      <c r="BV39" s="19">
        <v>49.4</v>
      </c>
      <c r="BW39" s="19"/>
      <c r="BX39" s="19">
        <f>52+30.8</f>
        <v>82.8</v>
      </c>
      <c r="BY39" s="18"/>
      <c r="BZ39" s="19"/>
      <c r="CA39" s="19"/>
      <c r="CB39" s="20"/>
    </row>
    <row r="40" spans="2:80" ht="12.75">
      <c r="B40" s="15">
        <v>37</v>
      </c>
      <c r="C40" s="16" t="s">
        <v>64</v>
      </c>
      <c r="D40" s="17">
        <f t="shared" si="16"/>
        <v>1125.4</v>
      </c>
      <c r="E40" s="18"/>
      <c r="F40" s="19"/>
      <c r="G40" s="19"/>
      <c r="H40" s="19"/>
      <c r="I40" s="18"/>
      <c r="J40" s="19"/>
      <c r="K40" s="19"/>
      <c r="L40" s="19"/>
      <c r="M40" s="18"/>
      <c r="N40" s="19"/>
      <c r="O40" s="19"/>
      <c r="P40" s="19"/>
      <c r="Q40" s="18"/>
      <c r="R40" s="19"/>
      <c r="S40" s="19"/>
      <c r="T40" s="19"/>
      <c r="U40" s="18"/>
      <c r="V40" s="19"/>
      <c r="W40" s="19"/>
      <c r="X40" s="19"/>
      <c r="Y40" s="18"/>
      <c r="Z40" s="19"/>
      <c r="AA40" s="19"/>
      <c r="AB40" s="19"/>
      <c r="AC40" s="18"/>
      <c r="AD40" s="19"/>
      <c r="AE40" s="19"/>
      <c r="AF40" s="19"/>
      <c r="AG40" s="18"/>
      <c r="AH40" s="19"/>
      <c r="AI40" s="19"/>
      <c r="AJ40" s="19"/>
      <c r="AK40" s="18"/>
      <c r="AL40" s="19"/>
      <c r="AM40" s="19"/>
      <c r="AN40" s="19"/>
      <c r="AO40" s="18"/>
      <c r="AP40" s="25"/>
      <c r="AQ40" s="25"/>
      <c r="AR40" s="25"/>
      <c r="AS40" s="18"/>
      <c r="AT40" s="19"/>
      <c r="AU40" s="19"/>
      <c r="AV40" s="19"/>
      <c r="AW40" s="18"/>
      <c r="AX40" s="25"/>
      <c r="AY40" s="25"/>
      <c r="AZ40" s="25"/>
      <c r="BA40" s="18"/>
      <c r="BB40" s="25"/>
      <c r="BC40" s="25"/>
      <c r="BD40" s="25"/>
      <c r="BE40" s="18">
        <f>+BF40+BG40+BH40</f>
        <v>335.9</v>
      </c>
      <c r="BF40" s="19">
        <v>335.9</v>
      </c>
      <c r="BG40" s="25"/>
      <c r="BH40" s="25"/>
      <c r="BI40" s="18"/>
      <c r="BJ40" s="25"/>
      <c r="BK40" s="25"/>
      <c r="BL40" s="25"/>
      <c r="BM40" s="18">
        <f>+BN40+BO40+BP40</f>
        <v>363.9</v>
      </c>
      <c r="BN40" s="19">
        <v>363.9</v>
      </c>
      <c r="BO40" s="25"/>
      <c r="BP40" s="25"/>
      <c r="BQ40" s="18">
        <f>+BR40+BS40+BT40</f>
        <v>425.6</v>
      </c>
      <c r="BR40" s="25">
        <v>425.6</v>
      </c>
      <c r="BS40" s="25"/>
      <c r="BT40" s="26"/>
      <c r="BU40" s="18"/>
      <c r="BV40" s="19"/>
      <c r="BW40" s="25"/>
      <c r="BX40" s="25"/>
      <c r="BY40" s="18"/>
      <c r="BZ40" s="25"/>
      <c r="CA40" s="25"/>
      <c r="CB40" s="26"/>
    </row>
    <row r="41" spans="2:80" ht="12.75">
      <c r="B41" s="15">
        <v>38</v>
      </c>
      <c r="C41" s="16" t="s">
        <v>61</v>
      </c>
      <c r="D41" s="17">
        <f t="shared" si="16"/>
        <v>1056.4</v>
      </c>
      <c r="E41" s="18">
        <f>+F41+G41+H41</f>
        <v>73.9</v>
      </c>
      <c r="F41" s="19"/>
      <c r="G41" s="19">
        <v>73.9</v>
      </c>
      <c r="H41" s="19"/>
      <c r="I41" s="18">
        <f>+J41+K41+L41</f>
        <v>77.8</v>
      </c>
      <c r="J41" s="19"/>
      <c r="K41" s="19">
        <v>77.8</v>
      </c>
      <c r="L41" s="19"/>
      <c r="M41" s="18"/>
      <c r="N41" s="19"/>
      <c r="O41" s="19"/>
      <c r="P41" s="19"/>
      <c r="Q41" s="18"/>
      <c r="R41" s="19"/>
      <c r="S41" s="19"/>
      <c r="T41" s="19"/>
      <c r="U41" s="18"/>
      <c r="V41" s="19"/>
      <c r="W41" s="19"/>
      <c r="X41" s="19"/>
      <c r="Y41" s="18"/>
      <c r="Z41" s="19"/>
      <c r="AA41" s="19"/>
      <c r="AB41" s="19"/>
      <c r="AC41" s="18">
        <f t="shared" si="2"/>
        <v>208.5</v>
      </c>
      <c r="AD41" s="19"/>
      <c r="AE41" s="19">
        <v>95.3</v>
      </c>
      <c r="AF41" s="19">
        <v>113.2</v>
      </c>
      <c r="AG41" s="18">
        <f t="shared" si="3"/>
        <v>238.5</v>
      </c>
      <c r="AH41" s="19"/>
      <c r="AI41" s="19">
        <v>108.7</v>
      </c>
      <c r="AJ41" s="19">
        <v>129.8</v>
      </c>
      <c r="AK41" s="18"/>
      <c r="AL41" s="19"/>
      <c r="AM41" s="19"/>
      <c r="AN41" s="19"/>
      <c r="AO41" s="18">
        <f t="shared" si="29"/>
        <v>99.9</v>
      </c>
      <c r="AP41" s="19"/>
      <c r="AQ41" s="19"/>
      <c r="AR41" s="19">
        <v>99.9</v>
      </c>
      <c r="AS41" s="18">
        <f t="shared" si="5"/>
        <v>77.6</v>
      </c>
      <c r="AT41" s="19"/>
      <c r="AU41" s="19"/>
      <c r="AV41" s="19">
        <v>77.6</v>
      </c>
      <c r="AW41" s="18">
        <f t="shared" si="6"/>
        <v>97.5</v>
      </c>
      <c r="AX41" s="19"/>
      <c r="AY41" s="19"/>
      <c r="AZ41" s="19">
        <v>97.5</v>
      </c>
      <c r="BA41" s="18">
        <f t="shared" si="7"/>
        <v>85.4</v>
      </c>
      <c r="BB41" s="19"/>
      <c r="BC41" s="19"/>
      <c r="BD41" s="19">
        <v>85.4</v>
      </c>
      <c r="BE41" s="18"/>
      <c r="BF41" s="19"/>
      <c r="BG41" s="19"/>
      <c r="BH41" s="19"/>
      <c r="BI41" s="18"/>
      <c r="BJ41" s="19"/>
      <c r="BK41" s="19"/>
      <c r="BL41" s="19"/>
      <c r="BM41" s="18">
        <f t="shared" si="21"/>
        <v>56.8</v>
      </c>
      <c r="BN41" s="19"/>
      <c r="BO41" s="19"/>
      <c r="BP41" s="19">
        <v>56.8</v>
      </c>
      <c r="BQ41" s="18">
        <f t="shared" si="22"/>
        <v>40.5</v>
      </c>
      <c r="BR41" s="19"/>
      <c r="BS41" s="19"/>
      <c r="BT41" s="20">
        <v>40.5</v>
      </c>
      <c r="BU41" s="18"/>
      <c r="BV41" s="19"/>
      <c r="BW41" s="19"/>
      <c r="BX41" s="19"/>
      <c r="BY41" s="18"/>
      <c r="BZ41" s="19"/>
      <c r="CA41" s="19"/>
      <c r="CB41" s="20"/>
    </row>
    <row r="42" spans="2:80" ht="12.75">
      <c r="B42" s="15">
        <v>39</v>
      </c>
      <c r="C42" s="16" t="s">
        <v>35</v>
      </c>
      <c r="D42" s="17">
        <f t="shared" si="16"/>
        <v>758.8000000000001</v>
      </c>
      <c r="E42" s="18"/>
      <c r="F42" s="19"/>
      <c r="G42" s="19"/>
      <c r="H42" s="19"/>
      <c r="I42" s="18"/>
      <c r="J42" s="19"/>
      <c r="K42" s="19"/>
      <c r="L42" s="19"/>
      <c r="M42" s="18"/>
      <c r="N42" s="19"/>
      <c r="O42" s="19"/>
      <c r="P42" s="19"/>
      <c r="Q42" s="18">
        <f t="shared" si="15"/>
        <v>107.5</v>
      </c>
      <c r="R42" s="19"/>
      <c r="S42" s="19"/>
      <c r="T42" s="19">
        <v>107.5</v>
      </c>
      <c r="U42" s="18"/>
      <c r="V42" s="19"/>
      <c r="W42" s="19"/>
      <c r="X42" s="19"/>
      <c r="Y42" s="18"/>
      <c r="Z42" s="19"/>
      <c r="AA42" s="19"/>
      <c r="AB42" s="19"/>
      <c r="AC42" s="18">
        <f t="shared" si="2"/>
        <v>146.7</v>
      </c>
      <c r="AD42" s="19"/>
      <c r="AE42" s="19"/>
      <c r="AF42" s="19">
        <v>146.7</v>
      </c>
      <c r="AG42" s="18">
        <f t="shared" si="3"/>
        <v>108.4</v>
      </c>
      <c r="AH42" s="19"/>
      <c r="AI42" s="19"/>
      <c r="AJ42" s="19">
        <v>108.4</v>
      </c>
      <c r="AK42" s="18">
        <f t="shared" si="4"/>
        <v>147</v>
      </c>
      <c r="AL42" s="19"/>
      <c r="AM42" s="19"/>
      <c r="AN42" s="19">
        <v>147</v>
      </c>
      <c r="AO42" s="18">
        <f>+AP42+AQ42+AR42</f>
        <v>71.3</v>
      </c>
      <c r="AP42" s="19"/>
      <c r="AQ42" s="19"/>
      <c r="AR42" s="19">
        <v>71.3</v>
      </c>
      <c r="AS42" s="18">
        <f t="shared" si="5"/>
        <v>49.1</v>
      </c>
      <c r="AT42" s="19"/>
      <c r="AU42" s="19"/>
      <c r="AV42" s="19">
        <v>49.1</v>
      </c>
      <c r="AW42" s="18">
        <f t="shared" si="6"/>
        <v>49.6</v>
      </c>
      <c r="AX42" s="19"/>
      <c r="AY42" s="19"/>
      <c r="AZ42" s="19">
        <v>49.6</v>
      </c>
      <c r="BA42" s="18"/>
      <c r="BB42" s="19"/>
      <c r="BC42" s="19"/>
      <c r="BD42" s="19"/>
      <c r="BE42" s="18">
        <f t="shared" si="23"/>
        <v>79.2</v>
      </c>
      <c r="BF42" s="19"/>
      <c r="BG42" s="19"/>
      <c r="BH42" s="19">
        <v>79.2</v>
      </c>
      <c r="BI42" s="18"/>
      <c r="BJ42" s="19"/>
      <c r="BK42" s="19"/>
      <c r="BL42" s="19"/>
      <c r="BM42" s="18"/>
      <c r="BN42" s="19"/>
      <c r="BO42" s="19"/>
      <c r="BP42" s="19"/>
      <c r="BQ42" s="18"/>
      <c r="BR42" s="19"/>
      <c r="BS42" s="19"/>
      <c r="BT42" s="20"/>
      <c r="BU42" s="18"/>
      <c r="BV42" s="19"/>
      <c r="BW42" s="19"/>
      <c r="BX42" s="19"/>
      <c r="BY42" s="18"/>
      <c r="BZ42" s="19"/>
      <c r="CA42" s="19"/>
      <c r="CB42" s="20"/>
    </row>
    <row r="43" spans="2:80" ht="12.75">
      <c r="B43" s="15">
        <v>40</v>
      </c>
      <c r="C43" s="16" t="s">
        <v>57</v>
      </c>
      <c r="D43" s="17">
        <f>+E43+I43+M43+Q43+U43+Y43+AC43+AG43+AK43+AO43+AS43+AW43+BA43+BE43+BI43+BM43+BQ43+BU43+BY43</f>
        <v>712.7</v>
      </c>
      <c r="E43" s="18"/>
      <c r="F43" s="19"/>
      <c r="G43" s="19"/>
      <c r="H43" s="19"/>
      <c r="I43" s="18"/>
      <c r="J43" s="19"/>
      <c r="K43" s="19"/>
      <c r="L43" s="19"/>
      <c r="M43" s="18"/>
      <c r="N43" s="19"/>
      <c r="O43" s="19"/>
      <c r="P43" s="19"/>
      <c r="Q43" s="18"/>
      <c r="R43" s="19"/>
      <c r="S43" s="19"/>
      <c r="T43" s="19"/>
      <c r="U43" s="18"/>
      <c r="V43" s="19"/>
      <c r="W43" s="19"/>
      <c r="X43" s="19"/>
      <c r="Y43" s="18"/>
      <c r="Z43" s="19"/>
      <c r="AA43" s="19"/>
      <c r="AB43" s="19"/>
      <c r="AC43" s="18">
        <f>+AD43+AE43+AF43</f>
        <v>99.4</v>
      </c>
      <c r="AD43" s="19"/>
      <c r="AE43" s="19"/>
      <c r="AF43" s="19">
        <v>99.4</v>
      </c>
      <c r="AG43" s="18">
        <f>+AH43+AI43+AJ43</f>
        <v>93.7</v>
      </c>
      <c r="AH43" s="19"/>
      <c r="AI43" s="19"/>
      <c r="AJ43" s="19">
        <v>93.7</v>
      </c>
      <c r="AK43" s="18">
        <f>+AL43+AM43+AN43</f>
        <v>44.5</v>
      </c>
      <c r="AL43" s="19"/>
      <c r="AM43" s="19"/>
      <c r="AN43" s="19">
        <v>44.5</v>
      </c>
      <c r="AO43" s="18"/>
      <c r="AP43" s="19"/>
      <c r="AQ43" s="19"/>
      <c r="AR43" s="19"/>
      <c r="AS43" s="18"/>
      <c r="AT43" s="19"/>
      <c r="AU43" s="19"/>
      <c r="AV43" s="19"/>
      <c r="AW43" s="18"/>
      <c r="AX43" s="19"/>
      <c r="AY43" s="19"/>
      <c r="AZ43" s="19"/>
      <c r="BA43" s="18"/>
      <c r="BB43" s="19"/>
      <c r="BC43" s="19"/>
      <c r="BD43" s="19"/>
      <c r="BE43" s="18">
        <f>+BF43+BG43+BH43</f>
        <v>91.6</v>
      </c>
      <c r="BF43" s="19"/>
      <c r="BG43" s="19"/>
      <c r="BH43" s="19">
        <v>91.6</v>
      </c>
      <c r="BI43" s="18">
        <f>+BJ43+BK43+BL43</f>
        <v>65</v>
      </c>
      <c r="BJ43" s="19"/>
      <c r="BK43" s="19"/>
      <c r="BL43" s="19">
        <v>65</v>
      </c>
      <c r="BM43" s="18">
        <f>+BN43+BO43+BP43</f>
        <v>97.8</v>
      </c>
      <c r="BN43" s="19"/>
      <c r="BO43" s="19"/>
      <c r="BP43" s="19">
        <v>97.8</v>
      </c>
      <c r="BQ43" s="18">
        <f>+BR43+BS43+BT43</f>
        <v>88.6</v>
      </c>
      <c r="BR43" s="19"/>
      <c r="BS43" s="19"/>
      <c r="BT43" s="20">
        <v>88.6</v>
      </c>
      <c r="BU43" s="18">
        <f>+BV43+BW43+BX43</f>
        <v>132.10000000000002</v>
      </c>
      <c r="BV43" s="19"/>
      <c r="BW43" s="19"/>
      <c r="BX43" s="19">
        <f>48.1+45.3+38.7</f>
        <v>132.10000000000002</v>
      </c>
      <c r="BY43" s="18"/>
      <c r="BZ43" s="19"/>
      <c r="CA43" s="19"/>
      <c r="CB43" s="20"/>
    </row>
    <row r="44" spans="2:80" ht="12.75">
      <c r="B44" s="15">
        <v>41</v>
      </c>
      <c r="C44" s="16" t="s">
        <v>63</v>
      </c>
      <c r="D44" s="17">
        <f t="shared" si="16"/>
        <v>617.6</v>
      </c>
      <c r="E44" s="18"/>
      <c r="F44" s="19"/>
      <c r="G44" s="19"/>
      <c r="H44" s="19"/>
      <c r="I44" s="18"/>
      <c r="J44" s="19"/>
      <c r="K44" s="19"/>
      <c r="L44" s="19"/>
      <c r="M44" s="18"/>
      <c r="N44" s="19"/>
      <c r="O44" s="19"/>
      <c r="P44" s="19"/>
      <c r="Q44" s="18"/>
      <c r="R44" s="19"/>
      <c r="S44" s="19"/>
      <c r="T44" s="19"/>
      <c r="U44" s="18"/>
      <c r="V44" s="19"/>
      <c r="W44" s="19"/>
      <c r="X44" s="19"/>
      <c r="Y44" s="18"/>
      <c r="Z44" s="19"/>
      <c r="AA44" s="19"/>
      <c r="AB44" s="19"/>
      <c r="AC44" s="18"/>
      <c r="AD44" s="19"/>
      <c r="AE44" s="19"/>
      <c r="AF44" s="19"/>
      <c r="AG44" s="18"/>
      <c r="AH44" s="19"/>
      <c r="AI44" s="19"/>
      <c r="AJ44" s="19"/>
      <c r="AK44" s="18"/>
      <c r="AL44" s="19"/>
      <c r="AM44" s="19"/>
      <c r="AN44" s="19"/>
      <c r="AO44" s="18">
        <f>+AP44+AQ44+AR44</f>
        <v>228.9</v>
      </c>
      <c r="AP44" s="19">
        <v>89</v>
      </c>
      <c r="AQ44" s="19">
        <v>77.5</v>
      </c>
      <c r="AR44" s="19">
        <v>62.4</v>
      </c>
      <c r="AS44" s="18">
        <f t="shared" si="5"/>
        <v>142.1</v>
      </c>
      <c r="AT44" s="19">
        <v>56.6</v>
      </c>
      <c r="AU44" s="19">
        <v>45.6</v>
      </c>
      <c r="AV44" s="19">
        <v>39.9</v>
      </c>
      <c r="AW44" s="18">
        <f t="shared" si="6"/>
        <v>113.6</v>
      </c>
      <c r="AX44" s="19">
        <v>70</v>
      </c>
      <c r="AY44" s="19"/>
      <c r="AZ44" s="19">
        <v>43.6</v>
      </c>
      <c r="BA44" s="18">
        <f t="shared" si="7"/>
        <v>133</v>
      </c>
      <c r="BB44" s="19">
        <v>68</v>
      </c>
      <c r="BC44" s="19">
        <v>20</v>
      </c>
      <c r="BD44" s="19">
        <v>45</v>
      </c>
      <c r="BE44" s="18"/>
      <c r="BF44" s="19"/>
      <c r="BG44" s="19"/>
      <c r="BH44" s="19"/>
      <c r="BI44" s="18"/>
      <c r="BJ44" s="19"/>
      <c r="BK44" s="19"/>
      <c r="BL44" s="19"/>
      <c r="BM44" s="18"/>
      <c r="BN44" s="19"/>
      <c r="BO44" s="19"/>
      <c r="BP44" s="19"/>
      <c r="BQ44" s="18"/>
      <c r="BR44" s="19"/>
      <c r="BS44" s="19"/>
      <c r="BT44" s="20"/>
      <c r="BU44" s="18"/>
      <c r="BV44" s="19"/>
      <c r="BW44" s="19"/>
      <c r="BX44" s="19"/>
      <c r="BY44" s="18"/>
      <c r="BZ44" s="19"/>
      <c r="CA44" s="19"/>
      <c r="CB44" s="20"/>
    </row>
    <row r="45" spans="2:80" ht="12.75">
      <c r="B45" s="15">
        <v>42</v>
      </c>
      <c r="C45" s="16" t="s">
        <v>58</v>
      </c>
      <c r="D45" s="17">
        <f t="shared" si="16"/>
        <v>564.4</v>
      </c>
      <c r="E45" s="18"/>
      <c r="F45" s="19"/>
      <c r="G45" s="19"/>
      <c r="H45" s="19"/>
      <c r="I45" s="18"/>
      <c r="J45" s="19"/>
      <c r="K45" s="19"/>
      <c r="L45" s="19"/>
      <c r="M45" s="18"/>
      <c r="N45" s="19"/>
      <c r="O45" s="19"/>
      <c r="P45" s="19"/>
      <c r="Q45" s="18"/>
      <c r="R45" s="19"/>
      <c r="S45" s="19"/>
      <c r="T45" s="19"/>
      <c r="U45" s="18"/>
      <c r="V45" s="19"/>
      <c r="W45" s="19"/>
      <c r="X45" s="19"/>
      <c r="Y45" s="18"/>
      <c r="Z45" s="19"/>
      <c r="AA45" s="19"/>
      <c r="AB45" s="19"/>
      <c r="AC45" s="18"/>
      <c r="AD45" s="25"/>
      <c r="AE45" s="25"/>
      <c r="AF45" s="25"/>
      <c r="AG45" s="18"/>
      <c r="AH45" s="25"/>
      <c r="AI45" s="25"/>
      <c r="AJ45" s="25"/>
      <c r="AK45" s="18">
        <f>+AL45+AM45+AN45</f>
        <v>192.1</v>
      </c>
      <c r="AL45" s="25"/>
      <c r="AM45" s="25"/>
      <c r="AN45" s="19">
        <v>192.1</v>
      </c>
      <c r="AO45" s="18">
        <f>+AP45+AQ45+AR45</f>
        <v>29.2</v>
      </c>
      <c r="AP45" s="19"/>
      <c r="AQ45" s="19"/>
      <c r="AR45" s="19">
        <v>29.2</v>
      </c>
      <c r="AS45" s="18">
        <f t="shared" si="5"/>
        <v>35.9</v>
      </c>
      <c r="AT45" s="19"/>
      <c r="AU45" s="19"/>
      <c r="AV45" s="19">
        <v>35.9</v>
      </c>
      <c r="AW45" s="18"/>
      <c r="AX45" s="19"/>
      <c r="AY45" s="19"/>
      <c r="AZ45" s="19"/>
      <c r="BA45" s="18"/>
      <c r="BB45" s="19"/>
      <c r="BC45" s="19"/>
      <c r="BD45" s="19"/>
      <c r="BE45" s="18"/>
      <c r="BF45" s="19"/>
      <c r="BG45" s="19"/>
      <c r="BH45" s="19"/>
      <c r="BI45" s="18"/>
      <c r="BJ45" s="19"/>
      <c r="BK45" s="19"/>
      <c r="BL45" s="19"/>
      <c r="BM45" s="18">
        <f t="shared" si="21"/>
        <v>115.3</v>
      </c>
      <c r="BN45" s="19"/>
      <c r="BO45" s="19"/>
      <c r="BP45" s="19">
        <v>115.3</v>
      </c>
      <c r="BQ45" s="18">
        <f t="shared" si="22"/>
        <v>81.8</v>
      </c>
      <c r="BR45" s="19"/>
      <c r="BS45" s="19"/>
      <c r="BT45" s="20">
        <v>81.8</v>
      </c>
      <c r="BU45" s="18">
        <f>+BV45+BW45+BX45</f>
        <v>110.1</v>
      </c>
      <c r="BV45" s="19"/>
      <c r="BW45" s="19"/>
      <c r="BX45" s="19">
        <f>52.7+47.4+10</f>
        <v>110.1</v>
      </c>
      <c r="BY45" s="18"/>
      <c r="BZ45" s="19"/>
      <c r="CA45" s="19"/>
      <c r="CB45" s="20"/>
    </row>
    <row r="46" spans="2:80" ht="12.75">
      <c r="B46" s="15">
        <v>43</v>
      </c>
      <c r="C46" s="16" t="s">
        <v>60</v>
      </c>
      <c r="D46" s="17">
        <f t="shared" si="16"/>
        <v>320.9</v>
      </c>
      <c r="E46" s="18"/>
      <c r="F46" s="19"/>
      <c r="G46" s="19"/>
      <c r="H46" s="19"/>
      <c r="I46" s="18"/>
      <c r="J46" s="19"/>
      <c r="K46" s="19"/>
      <c r="L46" s="19"/>
      <c r="M46" s="18"/>
      <c r="N46" s="19"/>
      <c r="O46" s="19"/>
      <c r="P46" s="19"/>
      <c r="Q46" s="18"/>
      <c r="R46" s="19"/>
      <c r="S46" s="19"/>
      <c r="T46" s="19"/>
      <c r="U46" s="18"/>
      <c r="V46" s="19"/>
      <c r="W46" s="19"/>
      <c r="X46" s="19"/>
      <c r="Y46" s="18"/>
      <c r="Z46" s="19"/>
      <c r="AA46" s="19"/>
      <c r="AB46" s="19"/>
      <c r="AC46" s="18">
        <f>+AD46+AE46+AF46</f>
        <v>52.5</v>
      </c>
      <c r="AD46" s="19"/>
      <c r="AE46" s="19"/>
      <c r="AF46" s="19">
        <v>52.5</v>
      </c>
      <c r="AG46" s="18">
        <f>+AH46+AI46+AJ46</f>
        <v>51</v>
      </c>
      <c r="AH46" s="19"/>
      <c r="AI46" s="19"/>
      <c r="AJ46" s="19">
        <v>51</v>
      </c>
      <c r="AK46" s="18"/>
      <c r="AL46" s="19"/>
      <c r="AM46" s="19"/>
      <c r="AN46" s="19"/>
      <c r="AO46" s="18"/>
      <c r="AP46" s="19"/>
      <c r="AQ46" s="19"/>
      <c r="AR46" s="19"/>
      <c r="AS46" s="18"/>
      <c r="AT46" s="19"/>
      <c r="AU46" s="19"/>
      <c r="AV46" s="19"/>
      <c r="AW46" s="18"/>
      <c r="AX46" s="19"/>
      <c r="AY46" s="19"/>
      <c r="AZ46" s="19"/>
      <c r="BA46" s="18"/>
      <c r="BB46" s="19"/>
      <c r="BC46" s="19"/>
      <c r="BD46" s="19"/>
      <c r="BE46" s="18"/>
      <c r="BF46" s="19"/>
      <c r="BG46" s="19"/>
      <c r="BH46" s="19"/>
      <c r="BI46" s="18"/>
      <c r="BJ46" s="19"/>
      <c r="BK46" s="19"/>
      <c r="BL46" s="19"/>
      <c r="BM46" s="18">
        <f t="shared" si="21"/>
        <v>62.7</v>
      </c>
      <c r="BN46" s="19"/>
      <c r="BO46" s="19"/>
      <c r="BP46" s="19">
        <v>62.7</v>
      </c>
      <c r="BQ46" s="18">
        <f t="shared" si="22"/>
        <v>60.3</v>
      </c>
      <c r="BR46" s="19"/>
      <c r="BS46" s="19"/>
      <c r="BT46" s="20">
        <v>60.3</v>
      </c>
      <c r="BU46" s="18">
        <f>+BV46+BW46+BX46</f>
        <v>55.7</v>
      </c>
      <c r="BV46" s="19"/>
      <c r="BW46" s="19"/>
      <c r="BX46" s="19">
        <v>55.7</v>
      </c>
      <c r="BY46" s="18">
        <f>+BZ46+CA46+CB46</f>
        <v>38.7</v>
      </c>
      <c r="BZ46" s="19"/>
      <c r="CA46" s="19"/>
      <c r="CB46" s="20">
        <v>38.7</v>
      </c>
    </row>
    <row r="47" spans="2:80" ht="12.75">
      <c r="B47" s="15">
        <v>44</v>
      </c>
      <c r="C47" s="16" t="s">
        <v>65</v>
      </c>
      <c r="D47" s="17">
        <f t="shared" si="16"/>
        <v>174.4</v>
      </c>
      <c r="E47" s="18"/>
      <c r="F47" s="19"/>
      <c r="G47" s="19"/>
      <c r="H47" s="19"/>
      <c r="I47" s="18"/>
      <c r="J47" s="19"/>
      <c r="K47" s="19"/>
      <c r="L47" s="19"/>
      <c r="M47" s="18"/>
      <c r="N47" s="19"/>
      <c r="O47" s="19"/>
      <c r="P47" s="19"/>
      <c r="Q47" s="18"/>
      <c r="R47" s="19"/>
      <c r="S47" s="19"/>
      <c r="T47" s="19"/>
      <c r="U47" s="18"/>
      <c r="V47" s="19"/>
      <c r="W47" s="19"/>
      <c r="X47" s="19"/>
      <c r="Y47" s="18"/>
      <c r="Z47" s="19"/>
      <c r="AA47" s="19"/>
      <c r="AB47" s="19"/>
      <c r="AC47" s="18"/>
      <c r="AD47" s="19"/>
      <c r="AE47" s="19"/>
      <c r="AF47" s="19"/>
      <c r="AG47" s="18"/>
      <c r="AH47" s="19"/>
      <c r="AI47" s="19"/>
      <c r="AJ47" s="19"/>
      <c r="AK47" s="18"/>
      <c r="AL47" s="19"/>
      <c r="AM47" s="19"/>
      <c r="AN47" s="19"/>
      <c r="AO47" s="18"/>
      <c r="AP47" s="19"/>
      <c r="AQ47" s="19"/>
      <c r="AR47" s="19"/>
      <c r="AS47" s="18"/>
      <c r="AT47" s="19"/>
      <c r="AU47" s="19"/>
      <c r="AV47" s="19"/>
      <c r="AW47" s="18">
        <f t="shared" si="6"/>
        <v>53.3</v>
      </c>
      <c r="AX47" s="19"/>
      <c r="AY47" s="19"/>
      <c r="AZ47" s="19">
        <v>53.3</v>
      </c>
      <c r="BA47" s="18"/>
      <c r="BB47" s="19"/>
      <c r="BC47" s="19"/>
      <c r="BD47" s="19"/>
      <c r="BE47" s="18"/>
      <c r="BF47" s="19"/>
      <c r="BG47" s="19"/>
      <c r="BH47" s="19"/>
      <c r="BI47" s="18"/>
      <c r="BJ47" s="19"/>
      <c r="BK47" s="19"/>
      <c r="BL47" s="19"/>
      <c r="BM47" s="18"/>
      <c r="BN47" s="19"/>
      <c r="BO47" s="19"/>
      <c r="BP47" s="19"/>
      <c r="BQ47" s="18">
        <f t="shared" si="22"/>
        <v>121.10000000000001</v>
      </c>
      <c r="BR47" s="19">
        <v>53.2</v>
      </c>
      <c r="BS47" s="19"/>
      <c r="BT47" s="20">
        <v>67.9</v>
      </c>
      <c r="BU47" s="18"/>
      <c r="BV47" s="19"/>
      <c r="BW47" s="19"/>
      <c r="BX47" s="19"/>
      <c r="BY47" s="18"/>
      <c r="BZ47" s="19"/>
      <c r="CA47" s="19"/>
      <c r="CB47" s="20"/>
    </row>
    <row r="48" spans="2:80" ht="12.75">
      <c r="B48" s="15">
        <v>45</v>
      </c>
      <c r="C48" s="16" t="s">
        <v>80</v>
      </c>
      <c r="D48" s="17">
        <f>+E48+I48+M48+Q48+U48+Y48+AC48+AG48+AK48+AO48+AS48+AW48+BA48+BE48+BI48+BM48+BQ48+BU48+BY48</f>
        <v>104.5</v>
      </c>
      <c r="E48" s="18"/>
      <c r="F48" s="19"/>
      <c r="G48" s="19"/>
      <c r="H48" s="19"/>
      <c r="I48" s="18"/>
      <c r="J48" s="19"/>
      <c r="K48" s="19"/>
      <c r="L48" s="19"/>
      <c r="M48" s="18"/>
      <c r="N48" s="19"/>
      <c r="O48" s="19"/>
      <c r="P48" s="19"/>
      <c r="Q48" s="18"/>
      <c r="R48" s="19"/>
      <c r="S48" s="19"/>
      <c r="T48" s="19"/>
      <c r="U48" s="18"/>
      <c r="V48" s="19"/>
      <c r="W48" s="19"/>
      <c r="X48" s="19"/>
      <c r="Y48" s="18"/>
      <c r="Z48" s="19"/>
      <c r="AA48" s="19"/>
      <c r="AB48" s="19"/>
      <c r="AC48" s="18"/>
      <c r="AD48" s="25"/>
      <c r="AE48" s="25"/>
      <c r="AF48" s="25"/>
      <c r="AG48" s="18"/>
      <c r="AH48" s="19"/>
      <c r="AI48" s="19"/>
      <c r="AJ48" s="19"/>
      <c r="AK48" s="18"/>
      <c r="AL48" s="19"/>
      <c r="AM48" s="19"/>
      <c r="AN48" s="19"/>
      <c r="AO48" s="18"/>
      <c r="AP48" s="19"/>
      <c r="AQ48" s="19"/>
      <c r="AR48" s="19"/>
      <c r="AS48" s="18"/>
      <c r="AT48" s="19"/>
      <c r="AU48" s="19"/>
      <c r="AV48" s="19"/>
      <c r="AW48" s="18"/>
      <c r="AX48" s="19"/>
      <c r="AY48" s="19"/>
      <c r="AZ48" s="19"/>
      <c r="BA48" s="18"/>
      <c r="BB48" s="19"/>
      <c r="BC48" s="19"/>
      <c r="BD48" s="19"/>
      <c r="BE48" s="18"/>
      <c r="BF48" s="19"/>
      <c r="BG48" s="19"/>
      <c r="BH48" s="19"/>
      <c r="BI48" s="18"/>
      <c r="BJ48" s="19"/>
      <c r="BK48" s="19"/>
      <c r="BL48" s="19"/>
      <c r="BM48" s="18"/>
      <c r="BN48" s="19"/>
      <c r="BO48" s="19"/>
      <c r="BP48" s="19"/>
      <c r="BQ48" s="18"/>
      <c r="BR48" s="19"/>
      <c r="BS48" s="19"/>
      <c r="BT48" s="20"/>
      <c r="BU48" s="18">
        <f>+BV48+BW48+BX48</f>
        <v>70.7</v>
      </c>
      <c r="BV48" s="19"/>
      <c r="BW48" s="19">
        <v>70.7</v>
      </c>
      <c r="BX48" s="19"/>
      <c r="BY48" s="18">
        <f>+BZ48+CA48+CB48</f>
        <v>33.8</v>
      </c>
      <c r="BZ48" s="19"/>
      <c r="CA48" s="19"/>
      <c r="CB48" s="20">
        <v>33.8</v>
      </c>
    </row>
    <row r="49" spans="2:80" ht="12.75">
      <c r="B49" s="15">
        <v>46</v>
      </c>
      <c r="C49" s="16" t="s">
        <v>56</v>
      </c>
      <c r="D49" s="17">
        <f t="shared" si="16"/>
        <v>59</v>
      </c>
      <c r="E49" s="18"/>
      <c r="F49" s="19"/>
      <c r="G49" s="19"/>
      <c r="H49" s="19"/>
      <c r="I49" s="18"/>
      <c r="J49" s="19"/>
      <c r="K49" s="19"/>
      <c r="L49" s="19"/>
      <c r="M49" s="18"/>
      <c r="N49" s="19"/>
      <c r="O49" s="19"/>
      <c r="P49" s="19"/>
      <c r="Q49" s="18"/>
      <c r="R49" s="19"/>
      <c r="S49" s="19"/>
      <c r="T49" s="19"/>
      <c r="U49" s="18"/>
      <c r="V49" s="19"/>
      <c r="W49" s="19"/>
      <c r="X49" s="19"/>
      <c r="Y49" s="18"/>
      <c r="Z49" s="19"/>
      <c r="AA49" s="19"/>
      <c r="AB49" s="19"/>
      <c r="AC49" s="18"/>
      <c r="AD49" s="25"/>
      <c r="AE49" s="25"/>
      <c r="AF49" s="25"/>
      <c r="AG49" s="18"/>
      <c r="AH49" s="19"/>
      <c r="AI49" s="19"/>
      <c r="AJ49" s="19"/>
      <c r="AK49" s="18">
        <f>+AL49+AM49+AN49</f>
        <v>31.3</v>
      </c>
      <c r="AL49" s="19"/>
      <c r="AM49" s="19"/>
      <c r="AN49" s="19">
        <v>31.3</v>
      </c>
      <c r="AO49" s="18"/>
      <c r="AP49" s="19"/>
      <c r="AQ49" s="19"/>
      <c r="AR49" s="19"/>
      <c r="AS49" s="18"/>
      <c r="AT49" s="19"/>
      <c r="AU49" s="19"/>
      <c r="AV49" s="19"/>
      <c r="AW49" s="18"/>
      <c r="AX49" s="19"/>
      <c r="AY49" s="19"/>
      <c r="AZ49" s="19"/>
      <c r="BA49" s="18"/>
      <c r="BB49" s="19"/>
      <c r="BC49" s="19"/>
      <c r="BD49" s="19"/>
      <c r="BE49" s="18"/>
      <c r="BF49" s="19"/>
      <c r="BG49" s="19"/>
      <c r="BH49" s="19"/>
      <c r="BI49" s="18"/>
      <c r="BJ49" s="19"/>
      <c r="BK49" s="19"/>
      <c r="BL49" s="19"/>
      <c r="BM49" s="18"/>
      <c r="BN49" s="19"/>
      <c r="BO49" s="19"/>
      <c r="BP49" s="19"/>
      <c r="BQ49" s="18">
        <f>+BR49+BS49+BT49</f>
        <v>27.7</v>
      </c>
      <c r="BR49" s="19"/>
      <c r="BS49" s="19"/>
      <c r="BT49" s="20">
        <v>27.7</v>
      </c>
      <c r="BU49" s="18"/>
      <c r="BV49" s="19"/>
      <c r="BW49" s="19"/>
      <c r="BX49" s="19"/>
      <c r="BY49" s="18"/>
      <c r="BZ49" s="19"/>
      <c r="CA49" s="19"/>
      <c r="CB49" s="20"/>
    </row>
    <row r="50" spans="2:80" ht="12.75">
      <c r="B50" s="38">
        <v>47</v>
      </c>
      <c r="C50" s="39" t="s">
        <v>43</v>
      </c>
      <c r="D50" s="40">
        <f t="shared" si="16"/>
        <v>37</v>
      </c>
      <c r="E50" s="41"/>
      <c r="F50" s="42"/>
      <c r="G50" s="42"/>
      <c r="H50" s="42"/>
      <c r="I50" s="41"/>
      <c r="J50" s="42"/>
      <c r="K50" s="42"/>
      <c r="L50" s="42"/>
      <c r="M50" s="41">
        <f>+N50+O50+P50</f>
        <v>37</v>
      </c>
      <c r="N50" s="42"/>
      <c r="O50" s="42">
        <v>37</v>
      </c>
      <c r="P50" s="42"/>
      <c r="Q50" s="41"/>
      <c r="R50" s="42"/>
      <c r="S50" s="42"/>
      <c r="T50" s="42"/>
      <c r="U50" s="41"/>
      <c r="V50" s="42"/>
      <c r="W50" s="42"/>
      <c r="X50" s="42"/>
      <c r="Y50" s="41"/>
      <c r="Z50" s="42"/>
      <c r="AA50" s="42"/>
      <c r="AB50" s="42"/>
      <c r="AC50" s="41"/>
      <c r="AD50" s="42"/>
      <c r="AE50" s="42"/>
      <c r="AF50" s="42"/>
      <c r="AG50" s="41"/>
      <c r="AH50" s="42"/>
      <c r="AI50" s="42"/>
      <c r="AJ50" s="42"/>
      <c r="AK50" s="41"/>
      <c r="AL50" s="42"/>
      <c r="AM50" s="42"/>
      <c r="AN50" s="42"/>
      <c r="AO50" s="41"/>
      <c r="AP50" s="42"/>
      <c r="AQ50" s="42"/>
      <c r="AR50" s="42"/>
      <c r="AS50" s="41"/>
      <c r="AT50" s="42"/>
      <c r="AU50" s="42"/>
      <c r="AV50" s="42"/>
      <c r="AW50" s="41"/>
      <c r="AX50" s="42"/>
      <c r="AY50" s="42"/>
      <c r="AZ50" s="42"/>
      <c r="BA50" s="41"/>
      <c r="BB50" s="42"/>
      <c r="BC50" s="42"/>
      <c r="BD50" s="42"/>
      <c r="BE50" s="41"/>
      <c r="BF50" s="42"/>
      <c r="BG50" s="42"/>
      <c r="BH50" s="42"/>
      <c r="BI50" s="41"/>
      <c r="BJ50" s="42"/>
      <c r="BK50" s="42"/>
      <c r="BL50" s="42"/>
      <c r="BM50" s="41"/>
      <c r="BN50" s="42"/>
      <c r="BO50" s="42"/>
      <c r="BP50" s="42"/>
      <c r="BQ50" s="41"/>
      <c r="BR50" s="42"/>
      <c r="BS50" s="42"/>
      <c r="BT50" s="43"/>
      <c r="BU50" s="41"/>
      <c r="BV50" s="42"/>
      <c r="BW50" s="42"/>
      <c r="BX50" s="42"/>
      <c r="BY50" s="41"/>
      <c r="BZ50" s="42"/>
      <c r="CA50" s="42"/>
      <c r="CB50" s="43"/>
    </row>
    <row r="54" ht="12.75">
      <c r="C54" s="5"/>
    </row>
    <row r="55" ht="12.75">
      <c r="C55" s="5"/>
    </row>
    <row r="56" ht="12.75">
      <c r="G56" s="7"/>
    </row>
    <row r="57" ht="12.75">
      <c r="C57" s="6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M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M51"/>
  <sheetViews>
    <sheetView showGridLines="0" tabSelected="1" zoomScale="80" zoomScaleNormal="80" workbookViewId="0" topLeftCell="A1">
      <selection activeCell="M12" sqref="M12"/>
    </sheetView>
  </sheetViews>
  <sheetFormatPr defaultColWidth="9.140625" defaultRowHeight="12.75"/>
  <cols>
    <col min="2" max="2" width="10.140625" style="0" customWidth="1"/>
    <col min="3" max="3" width="20.00390625" style="0" bestFit="1" customWidth="1"/>
    <col min="4" max="4" width="12.00390625" style="0" customWidth="1"/>
    <col min="5" max="7" width="15.7109375" style="4" customWidth="1"/>
    <col min="8" max="13" width="15.7109375" style="0" customWidth="1"/>
  </cols>
  <sheetData>
    <row r="2" spans="2:13" ht="12.75">
      <c r="B2" s="45" t="s">
        <v>81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4" spans="2:13" ht="12.75">
      <c r="B4" s="28"/>
      <c r="C4" s="29" t="s">
        <v>49</v>
      </c>
      <c r="D4" s="29" t="str">
        <f>Detalhado!D3</f>
        <v>Total</v>
      </c>
      <c r="E4" s="29" t="s">
        <v>51</v>
      </c>
      <c r="F4" s="29" t="s">
        <v>52</v>
      </c>
      <c r="G4" s="29" t="s">
        <v>53</v>
      </c>
      <c r="H4" s="29" t="s">
        <v>54</v>
      </c>
      <c r="I4" s="29" t="s">
        <v>55</v>
      </c>
      <c r="J4" s="29" t="s">
        <v>73</v>
      </c>
      <c r="K4" s="29" t="s">
        <v>72</v>
      </c>
      <c r="L4" s="29" t="s">
        <v>76</v>
      </c>
      <c r="M4" s="29" t="s">
        <v>77</v>
      </c>
    </row>
    <row r="5" spans="2:13" ht="12.75">
      <c r="B5" s="30">
        <f>Detalhado!B4</f>
        <v>1</v>
      </c>
      <c r="C5" s="30" t="str">
        <f>Detalhado!C4</f>
        <v>(94) CPOC</v>
      </c>
      <c r="D5" s="31">
        <f>Detalhado!D4</f>
        <v>40278.99411764705</v>
      </c>
      <c r="E5" s="32">
        <f>+Detalhado!E4+Detalhado!I4</f>
        <v>3989.5999999999995</v>
      </c>
      <c r="F5" s="32">
        <f>+Detalhado!M4+Detalhado!Q4</f>
        <v>4540</v>
      </c>
      <c r="G5" s="32">
        <f>+Detalhado!U4+Detalhado!Y4</f>
        <v>3938.9</v>
      </c>
      <c r="H5" s="32">
        <f>+Detalhado!AC4+Detalhado!AG4</f>
        <v>4609.1</v>
      </c>
      <c r="I5" s="32">
        <f>+Detalhado!AK4</f>
        <v>2329.6</v>
      </c>
      <c r="J5" s="32">
        <f>+Detalhado!AO4+Detalhado!AS4+Detalhado!AW4+Detalhado!BA4</f>
        <v>8286.6</v>
      </c>
      <c r="K5" s="32">
        <f>+Detalhado!BE4+Detalhado!BI4</f>
        <v>4618.8</v>
      </c>
      <c r="L5" s="37">
        <f>+Detalhado!BM4+Detalhado!BQ4</f>
        <v>4239.894117647058</v>
      </c>
      <c r="M5" s="44">
        <f>+Detalhado!BU4+Detalhado!BY4</f>
        <v>3726.5</v>
      </c>
    </row>
    <row r="6" spans="2:13" ht="12.75">
      <c r="B6" s="30">
        <f>Detalhado!B5</f>
        <v>2</v>
      </c>
      <c r="C6" s="30" t="str">
        <f>Detalhado!C5</f>
        <v>(70) COC</v>
      </c>
      <c r="D6" s="31">
        <f>Detalhado!D5</f>
        <v>39313.347058823536</v>
      </c>
      <c r="E6" s="32">
        <f>+Detalhado!E5+Detalhado!I5</f>
        <v>3991.8</v>
      </c>
      <c r="F6" s="32">
        <f>+Detalhado!M5+Detalhado!Q5</f>
        <v>4448.8</v>
      </c>
      <c r="G6" s="32">
        <f>+Detalhado!U5+Detalhado!Y5</f>
        <v>4035.9</v>
      </c>
      <c r="H6" s="37">
        <f>+Detalhado!AC5+Detalhado!AG5</f>
        <v>4138.247058823529</v>
      </c>
      <c r="I6" s="32">
        <f>+Detalhado!AK5</f>
        <v>2114.4</v>
      </c>
      <c r="J6" s="32">
        <f>+Detalhado!AO5+Detalhado!AS5+Detalhado!AW5+Detalhado!BA5</f>
        <v>8481.8</v>
      </c>
      <c r="K6" s="32">
        <f>+Detalhado!BE5+Detalhado!BI5</f>
        <v>4263</v>
      </c>
      <c r="L6" s="44">
        <f>+Detalhado!BM5+Detalhado!BQ5</f>
        <v>4300</v>
      </c>
      <c r="M6" s="44">
        <f>+Detalhado!BU5+Detalhado!BY5</f>
        <v>3539.4</v>
      </c>
    </row>
    <row r="7" spans="2:13" ht="12.75">
      <c r="B7" s="30">
        <f>Detalhado!B6</f>
        <v>3</v>
      </c>
      <c r="C7" s="30" t="str">
        <f>Detalhado!C6</f>
        <v>(52) GD4C</v>
      </c>
      <c r="D7" s="31">
        <f>Detalhado!D6</f>
        <v>37942.77647058824</v>
      </c>
      <c r="E7" s="32">
        <f>+Detalhado!E6+Detalhado!I6</f>
        <v>3842.2</v>
      </c>
      <c r="F7" s="32">
        <f>+Detalhado!M6+Detalhado!Q6</f>
        <v>4126</v>
      </c>
      <c r="G7" s="32">
        <f>+Detalhado!U6+Detalhado!Y6</f>
        <v>3903.3999999999996</v>
      </c>
      <c r="H7" s="32">
        <f>+Detalhado!AC6+Detalhado!AG6</f>
        <v>3932.2</v>
      </c>
      <c r="I7" s="32">
        <f>+Detalhado!AK6</f>
        <v>2127.8</v>
      </c>
      <c r="J7" s="32">
        <f>+Detalhado!AO6+Detalhado!AS6+Detalhado!AW6+Detalhado!BA6</f>
        <v>8594.8</v>
      </c>
      <c r="K7" s="37">
        <f>+Detalhado!BE6+Detalhado!BI6</f>
        <v>3993.9764705882353</v>
      </c>
      <c r="L7" s="44">
        <f>+Detalhado!BM6+Detalhado!BQ6</f>
        <v>4266.099999999999</v>
      </c>
      <c r="M7" s="44">
        <f>+Detalhado!BU6+Detalhado!BY6</f>
        <v>3156.3</v>
      </c>
    </row>
    <row r="8" spans="2:13" ht="12.75">
      <c r="B8" s="30">
        <f>Detalhado!B7</f>
        <v>4</v>
      </c>
      <c r="C8" s="30" t="str">
        <f>Detalhado!C7</f>
        <v>(7) OriEstarreja</v>
      </c>
      <c r="D8" s="31">
        <f>Detalhado!D7</f>
        <v>31791.81333333334</v>
      </c>
      <c r="E8" s="32">
        <f>+Detalhado!E7+Detalhado!I7</f>
        <v>2629.1000000000004</v>
      </c>
      <c r="F8" s="32">
        <f>+Detalhado!M7+Detalhado!Q7</f>
        <v>3596</v>
      </c>
      <c r="G8" s="32">
        <f>+Detalhado!U7+Detalhado!Y7</f>
        <v>3454.5</v>
      </c>
      <c r="H8" s="32">
        <f>+Detalhado!AC7+Detalhado!AG7</f>
        <v>3966.3999999999996</v>
      </c>
      <c r="I8" s="32">
        <f>+Detalhado!AK7</f>
        <v>1871.8000000000002</v>
      </c>
      <c r="J8" s="37">
        <f>+Detalhado!AO7+Detalhado!AS7+Detalhado!AW7+Detalhado!BA7</f>
        <v>6693.013333333334</v>
      </c>
      <c r="K8" s="32">
        <f>+Detalhado!BE7+Detalhado!BI7</f>
        <v>3178.3</v>
      </c>
      <c r="L8" s="44">
        <f>+Detalhado!BM7+Detalhado!BQ7</f>
        <v>4010.3999999999996</v>
      </c>
      <c r="M8" s="44">
        <f>+Detalhado!BU7+Detalhado!BY7</f>
        <v>2392.2999999999997</v>
      </c>
    </row>
    <row r="9" spans="2:13" ht="12.75">
      <c r="B9" s="30">
        <f>Detalhado!B8</f>
        <v>5</v>
      </c>
      <c r="C9" s="30" t="str">
        <f>Detalhado!C8</f>
        <v>(90) ADFA</v>
      </c>
      <c r="D9" s="31">
        <f>Detalhado!D8</f>
        <v>27125.455555555556</v>
      </c>
      <c r="E9" s="32">
        <f>+Detalhado!E8+Detalhado!I8</f>
        <v>3332.4</v>
      </c>
      <c r="F9" s="32">
        <f>+Detalhado!M8+Detalhado!Q8</f>
        <v>2233.8</v>
      </c>
      <c r="G9" s="32">
        <f>+Detalhado!U8+Detalhado!Y8</f>
        <v>2215.6</v>
      </c>
      <c r="H9" s="32">
        <f>+Detalhado!AC8+Detalhado!AG8</f>
        <v>3535.4000000000005</v>
      </c>
      <c r="I9" s="37">
        <f>+Detalhado!AK8</f>
        <v>1427.6555555555556</v>
      </c>
      <c r="J9" s="32">
        <f>+Detalhado!AO8+Detalhado!AS8+Detalhado!AW8+Detalhado!BA8</f>
        <v>5203.1</v>
      </c>
      <c r="K9" s="32">
        <f>+Detalhado!BE8+Detalhado!BI8</f>
        <v>3172.5</v>
      </c>
      <c r="L9" s="44">
        <f>+Detalhado!BM8+Detalhado!BQ8</f>
        <v>3424.8</v>
      </c>
      <c r="M9" s="44">
        <f>+Detalhado!BU8+Detalhado!BY8</f>
        <v>2580.2</v>
      </c>
    </row>
    <row r="10" spans="2:13" ht="12.75">
      <c r="B10" s="30">
        <f>Detalhado!B9</f>
        <v>6</v>
      </c>
      <c r="C10" s="30" t="str">
        <f>Detalhado!C9</f>
        <v>(102) .COM</v>
      </c>
      <c r="D10" s="31">
        <f>Detalhado!D9</f>
        <v>25689.229411764707</v>
      </c>
      <c r="E10" s="32">
        <f>+Detalhado!E9+Detalhado!I9</f>
        <v>2179.7000000000003</v>
      </c>
      <c r="F10" s="37">
        <f>+Detalhado!M9+Detalhado!Q9</f>
        <v>2704.1294117647067</v>
      </c>
      <c r="G10" s="32">
        <f>+Detalhado!U9+Detalhado!Y9</f>
        <v>3124.7</v>
      </c>
      <c r="H10" s="32">
        <f>+Detalhado!AC9+Detalhado!AG9</f>
        <v>3082.5</v>
      </c>
      <c r="I10" s="32">
        <f>+Detalhado!AK9</f>
        <v>1618.6</v>
      </c>
      <c r="J10" s="32">
        <f>+Detalhado!AO9+Detalhado!AS9+Detalhado!AW9+Detalhado!BA9</f>
        <v>6041.5</v>
      </c>
      <c r="K10" s="32">
        <f>+Detalhado!BE9+Detalhado!BI9</f>
        <v>2351.8999999999996</v>
      </c>
      <c r="L10" s="44">
        <f>+Detalhado!BM9+Detalhado!BQ9</f>
        <v>2757.7</v>
      </c>
      <c r="M10" s="44">
        <f>+Detalhado!BU9+Detalhado!BY9</f>
        <v>1828.5</v>
      </c>
    </row>
    <row r="11" spans="2:13" ht="12.75">
      <c r="B11" s="30">
        <f>Detalhado!B10</f>
        <v>7</v>
      </c>
      <c r="C11" s="30" t="str">
        <f>Detalhado!C10</f>
        <v>(107) CAOS</v>
      </c>
      <c r="D11" s="31">
        <f>Detalhado!D10</f>
        <v>22978.376470588235</v>
      </c>
      <c r="E11" s="32">
        <f>+Detalhado!E10+Detalhado!I10</f>
        <v>1258.7</v>
      </c>
      <c r="F11" s="32">
        <f>+Detalhado!M10+Detalhado!Q10</f>
        <v>2118.2</v>
      </c>
      <c r="G11" s="32">
        <f>+Detalhado!U10+Detalhado!Y10</f>
        <v>3447</v>
      </c>
      <c r="H11" s="32">
        <f>+Detalhado!AC10+Detalhado!AG10</f>
        <v>2281.8</v>
      </c>
      <c r="I11" s="32">
        <f>+Detalhado!AK10</f>
        <v>1534.8</v>
      </c>
      <c r="J11" s="32">
        <f>+Detalhado!AO10+Detalhado!AS10+Detalhado!AW10+Detalhado!BA10</f>
        <v>4523.9</v>
      </c>
      <c r="K11" s="32">
        <f>+Detalhado!BE10+Detalhado!BI10</f>
        <v>2717.9</v>
      </c>
      <c r="L11" s="44">
        <f>+Detalhado!BM10+Detalhado!BQ10</f>
        <v>2677.3</v>
      </c>
      <c r="M11" s="37">
        <f>+Detalhado!BU10+Detalhado!BY10</f>
        <v>2418.7764705882355</v>
      </c>
    </row>
    <row r="12" spans="2:13" ht="12.75">
      <c r="B12" s="30">
        <f>Detalhado!B11</f>
        <v>8</v>
      </c>
      <c r="C12" s="30" t="str">
        <f>Detalhado!C11</f>
        <v>(92) Lebres do Sado</v>
      </c>
      <c r="D12" s="31">
        <f>Detalhado!D11</f>
        <v>22113.4</v>
      </c>
      <c r="E12" s="32">
        <f>+Detalhado!E11+Detalhado!I11</f>
        <v>1611.8000000000002</v>
      </c>
      <c r="F12" s="32">
        <f>+Detalhado!M11+Detalhado!Q11</f>
        <v>2229.7</v>
      </c>
      <c r="G12" s="32">
        <f>+Detalhado!U11+Detalhado!Y11</f>
        <v>2432.8</v>
      </c>
      <c r="H12" s="32">
        <f>+Detalhado!AC11+Detalhado!AG11</f>
        <v>2519.7</v>
      </c>
      <c r="I12" s="32">
        <f>+Detalhado!AK11</f>
        <v>1381.6</v>
      </c>
      <c r="J12" s="32">
        <f>+Detalhado!AO11+Detalhado!AS11+Detalhado!AW11+Detalhado!BA11</f>
        <v>4481.1</v>
      </c>
      <c r="K12" s="32">
        <f>+Detalhado!BE11+Detalhado!BI11</f>
        <v>2608.6000000000004</v>
      </c>
      <c r="L12" s="44">
        <f>+Detalhado!BM11+Detalhado!BQ11</f>
        <v>2747.6000000000004</v>
      </c>
      <c r="M12" s="44">
        <f>+Detalhado!BU11+Detalhado!BY11</f>
        <v>2100.5</v>
      </c>
    </row>
    <row r="13" spans="2:13" ht="12.75">
      <c r="B13" s="30">
        <f>Detalhado!B12</f>
        <v>9</v>
      </c>
      <c r="C13" s="30" t="str">
        <f>Detalhado!C12</f>
        <v>(2) AAMafra</v>
      </c>
      <c r="D13" s="31">
        <f>Detalhado!D12</f>
        <v>19116.1</v>
      </c>
      <c r="E13" s="32">
        <f>+Detalhado!E12+Detalhado!I12</f>
        <v>1821.3999999999999</v>
      </c>
      <c r="F13" s="32">
        <f>+Detalhado!M12+Detalhado!Q12</f>
        <v>1715.5</v>
      </c>
      <c r="G13" s="32">
        <f>+Detalhado!U12+Detalhado!Y12</f>
        <v>2409.5</v>
      </c>
      <c r="H13" s="32">
        <f>+Detalhado!AC12+Detalhado!AG12</f>
        <v>1938.7</v>
      </c>
      <c r="I13" s="32">
        <f>+Detalhado!AK12</f>
        <v>1047.1</v>
      </c>
      <c r="J13" s="32">
        <f>+Detalhado!AO12+Detalhado!AS12+Detalhado!AW12+Detalhado!BA12</f>
        <v>4364.4</v>
      </c>
      <c r="K13" s="32">
        <f>+Detalhado!BE12+Detalhado!BI12</f>
        <v>2200.5</v>
      </c>
      <c r="L13" s="44">
        <f>+Detalhado!BM12+Detalhado!BQ12</f>
        <v>2155.5</v>
      </c>
      <c r="M13" s="44">
        <f>+Detalhado!BU12+Detalhado!BY12</f>
        <v>1463.5</v>
      </c>
    </row>
    <row r="14" spans="2:13" ht="12.75">
      <c r="B14" s="30">
        <f>Detalhado!B13</f>
        <v>10</v>
      </c>
      <c r="C14" s="30" t="str">
        <f>Detalhado!C13</f>
        <v>(80) TST</v>
      </c>
      <c r="D14" s="31">
        <f>Detalhado!D13</f>
        <v>14653.300000000003</v>
      </c>
      <c r="E14" s="32">
        <f>+Detalhado!E13+Detalhado!I13</f>
        <v>1678.2</v>
      </c>
      <c r="F14" s="32">
        <f>+Detalhado!M13+Detalhado!Q13</f>
        <v>1974.3000000000002</v>
      </c>
      <c r="G14" s="32">
        <f>+Detalhado!U13+Detalhado!Y13</f>
        <v>1937.1</v>
      </c>
      <c r="H14" s="32">
        <f>+Detalhado!AC13+Detalhado!AG13</f>
        <v>1292.9</v>
      </c>
      <c r="I14" s="32">
        <f>+Detalhado!AK13</f>
        <v>402.8</v>
      </c>
      <c r="J14" s="32">
        <f>+Detalhado!AO13+Detalhado!AS13+Detalhado!AW13+Detalhado!BA13</f>
        <v>3671.9</v>
      </c>
      <c r="K14" s="32">
        <f>+Detalhado!BE13+Detalhado!BI13</f>
        <v>1151.2</v>
      </c>
      <c r="L14" s="44">
        <f>+Detalhado!BM13+Detalhado!BQ13</f>
        <v>1422.6</v>
      </c>
      <c r="M14" s="44">
        <f>+Detalhado!BU13+Detalhado!BY13</f>
        <v>1122.3000000000002</v>
      </c>
    </row>
    <row r="15" spans="2:13" ht="12.75">
      <c r="B15" s="30">
        <f>Detalhado!B14</f>
        <v>11</v>
      </c>
      <c r="C15" s="30" t="str">
        <f>Detalhado!C14</f>
        <v>(5) CP Armada</v>
      </c>
      <c r="D15" s="31">
        <f>Detalhado!D14</f>
        <v>12872.199999999999</v>
      </c>
      <c r="E15" s="32">
        <f>+Detalhado!E14+Detalhado!I14</f>
        <v>1611.1</v>
      </c>
      <c r="F15" s="32">
        <f>+Detalhado!M14+Detalhado!Q14</f>
        <v>1525.8000000000002</v>
      </c>
      <c r="G15" s="32">
        <f>+Detalhado!U14+Detalhado!Y14</f>
        <v>1070.5</v>
      </c>
      <c r="H15" s="32">
        <f>+Detalhado!AC14+Detalhado!AG14</f>
        <v>1637.3999999999999</v>
      </c>
      <c r="I15" s="32">
        <f>+Detalhado!AK14</f>
        <v>968.8000000000001</v>
      </c>
      <c r="J15" s="32">
        <f>+Detalhado!AO14+Detalhado!AS14+Detalhado!AW14+Detalhado!BA14</f>
        <v>2036.9</v>
      </c>
      <c r="K15" s="32">
        <f>+Detalhado!BE14+Detalhado!BI14</f>
        <v>1168.3</v>
      </c>
      <c r="L15" s="44">
        <f>+Detalhado!BM14+Detalhado!BQ14</f>
        <v>1390</v>
      </c>
      <c r="M15" s="44">
        <f>+Detalhado!BU14+Detalhado!BY14</f>
        <v>1463.4</v>
      </c>
    </row>
    <row r="16" spans="2:13" ht="12.75">
      <c r="B16" s="30">
        <f>Detalhado!B15</f>
        <v>12</v>
      </c>
      <c r="C16" s="30" t="str">
        <f>Detalhado!C15</f>
        <v>(115) ATV</v>
      </c>
      <c r="D16" s="31">
        <f>Detalhado!D15</f>
        <v>12583.8</v>
      </c>
      <c r="E16" s="32">
        <f>+Detalhado!E15+Detalhado!I15</f>
        <v>611.8</v>
      </c>
      <c r="F16" s="32">
        <f>+Detalhado!M15+Detalhado!Q15</f>
        <v>1382.6</v>
      </c>
      <c r="G16" s="32">
        <f>+Detalhado!U15+Detalhado!Y15</f>
        <v>1283.1999999999998</v>
      </c>
      <c r="H16" s="32">
        <f>+Detalhado!AC15+Detalhado!AG15</f>
        <v>1548.9</v>
      </c>
      <c r="I16" s="32">
        <f>+Detalhado!AK15</f>
        <v>1117.9</v>
      </c>
      <c r="J16" s="32">
        <f>+Detalhado!AO15+Detalhado!AS15+Detalhado!AW15+Detalhado!BA15</f>
        <v>2521.6</v>
      </c>
      <c r="K16" s="32">
        <f>+Detalhado!BE15+Detalhado!BI15</f>
        <v>1953</v>
      </c>
      <c r="L16" s="44">
        <f>+Detalhado!BM15+Detalhado!BQ15</f>
        <v>1290.4</v>
      </c>
      <c r="M16" s="44">
        <f>+Detalhado!BU15+Detalhado!BY15</f>
        <v>874.3999999999999</v>
      </c>
    </row>
    <row r="17" spans="2:13" ht="12.75">
      <c r="B17" s="30">
        <f>Detalhado!B16</f>
        <v>13</v>
      </c>
      <c r="C17" s="30" t="str">
        <f>Detalhado!C16</f>
        <v>(22) CLAC</v>
      </c>
      <c r="D17" s="31">
        <f>Detalhado!D16</f>
        <v>12550.399999999998</v>
      </c>
      <c r="E17" s="32">
        <f>+Detalhado!E16+Detalhado!I16</f>
        <v>933</v>
      </c>
      <c r="F17" s="32">
        <f>+Detalhado!M16+Detalhado!Q16</f>
        <v>1277.1</v>
      </c>
      <c r="G17" s="32">
        <f>+Detalhado!U16+Detalhado!Y16</f>
        <v>1485</v>
      </c>
      <c r="H17" s="32">
        <f>+Detalhado!AC16+Detalhado!AG16</f>
        <v>1508.6999999999998</v>
      </c>
      <c r="I17" s="32">
        <f>+Detalhado!AK16</f>
        <v>795.7</v>
      </c>
      <c r="J17" s="32">
        <f>+Detalhado!AO16+Detalhado!AS16+Detalhado!AW16+Detalhado!BA16</f>
        <v>2610.3</v>
      </c>
      <c r="K17" s="32">
        <f>+Detalhado!BE16+Detalhado!BI16</f>
        <v>1787.6</v>
      </c>
      <c r="L17" s="44">
        <f>+Detalhado!BM16+Detalhado!BQ16</f>
        <v>1366.6</v>
      </c>
      <c r="M17" s="44">
        <f>+Detalhado!BU16+Detalhado!BY16</f>
        <v>786.4</v>
      </c>
    </row>
    <row r="18" spans="2:13" ht="12.75">
      <c r="B18" s="30">
        <f>Detalhado!B17</f>
        <v>14</v>
      </c>
      <c r="C18" s="30" t="str">
        <f>Detalhado!C17</f>
        <v>(15) DA Recardães</v>
      </c>
      <c r="D18" s="31">
        <f>Detalhado!D17</f>
        <v>11943.699999999997</v>
      </c>
      <c r="E18" s="32">
        <f>+Detalhado!E17+Detalhado!I17</f>
        <v>0</v>
      </c>
      <c r="F18" s="32">
        <f>+Detalhado!M17+Detalhado!Q17</f>
        <v>1337.6</v>
      </c>
      <c r="G18" s="32">
        <f>+Detalhado!U17+Detalhado!Y17</f>
        <v>1376.8000000000002</v>
      </c>
      <c r="H18" s="32">
        <f>+Detalhado!AC17+Detalhado!AG17</f>
        <v>1704.1999999999998</v>
      </c>
      <c r="I18" s="32">
        <f>+Detalhado!AK17</f>
        <v>791</v>
      </c>
      <c r="J18" s="32">
        <f>+Detalhado!AO17+Detalhado!AS17+Detalhado!AW17+Detalhado!BA17</f>
        <v>2569.4</v>
      </c>
      <c r="K18" s="32">
        <f>+Detalhado!BE17+Detalhado!BI17</f>
        <v>1424.8</v>
      </c>
      <c r="L18" s="44">
        <f>+Detalhado!BM17+Detalhado!BQ17</f>
        <v>1619.5</v>
      </c>
      <c r="M18" s="44">
        <f>+Detalhado!BU17+Detalhado!BY17</f>
        <v>1120.4</v>
      </c>
    </row>
    <row r="19" spans="2:13" ht="12.75">
      <c r="B19" s="30">
        <f>Detalhado!B18</f>
        <v>15</v>
      </c>
      <c r="C19" s="30" t="str">
        <f>Detalhado!C18</f>
        <v>(88) ADC</v>
      </c>
      <c r="D19" s="31">
        <f>Detalhado!D18</f>
        <v>11506.500000000002</v>
      </c>
      <c r="E19" s="32">
        <f>+Detalhado!E18+Detalhado!I18</f>
        <v>0</v>
      </c>
      <c r="F19" s="32">
        <f>+Detalhado!M18+Detalhado!Q18</f>
        <v>1761.3</v>
      </c>
      <c r="G19" s="32">
        <f>+Detalhado!U18+Detalhado!Y18</f>
        <v>2170.1</v>
      </c>
      <c r="H19" s="32">
        <f>+Detalhado!AC18+Detalhado!AG18</f>
        <v>1036.8</v>
      </c>
      <c r="I19" s="32">
        <f>+Detalhado!AK18</f>
        <v>869.2</v>
      </c>
      <c r="J19" s="32">
        <f>+Detalhado!AO18+Detalhado!AS18+Detalhado!AW18+Detalhado!BA18</f>
        <v>2319.8</v>
      </c>
      <c r="K19" s="32">
        <f>+Detalhado!BE18+Detalhado!BI18</f>
        <v>1139</v>
      </c>
      <c r="L19" s="44">
        <f>+Detalhado!BM18+Detalhado!BQ18</f>
        <v>1436.1999999999998</v>
      </c>
      <c r="M19" s="44">
        <f>+Detalhado!BU18+Detalhado!BY18</f>
        <v>774.1</v>
      </c>
    </row>
    <row r="20" spans="2:13" ht="12.75">
      <c r="B20" s="30">
        <f>Detalhado!B19</f>
        <v>16</v>
      </c>
      <c r="C20" s="30" t="str">
        <f>Detalhado!C19</f>
        <v>(39) CP Telecom</v>
      </c>
      <c r="D20" s="31">
        <f>Detalhado!D19</f>
        <v>9468.7</v>
      </c>
      <c r="E20" s="32">
        <f>+Detalhado!E19+Detalhado!I19</f>
        <v>957.3000000000001</v>
      </c>
      <c r="F20" s="32">
        <f>+Detalhado!M19+Detalhado!Q19</f>
        <v>1312.4</v>
      </c>
      <c r="G20" s="32">
        <f>+Detalhado!U19+Detalhado!Y19</f>
        <v>1296.1999999999998</v>
      </c>
      <c r="H20" s="32">
        <f>+Detalhado!AC19+Detalhado!AG19</f>
        <v>1017.6</v>
      </c>
      <c r="I20" s="32">
        <f>+Detalhado!AK19</f>
        <v>500.8</v>
      </c>
      <c r="J20" s="32">
        <f>+Detalhado!AO19+Detalhado!AS19+Detalhado!AW19+Detalhado!BA19</f>
        <v>2247.1</v>
      </c>
      <c r="K20" s="32">
        <f>+Detalhado!BE19+Detalhado!BI19</f>
        <v>981.3</v>
      </c>
      <c r="L20" s="44">
        <f>+Detalhado!BM19+Detalhado!BQ19</f>
        <v>960.5</v>
      </c>
      <c r="M20" s="44">
        <f>+Detalhado!BU19+Detalhado!BY19</f>
        <v>195.5</v>
      </c>
    </row>
    <row r="21" spans="2:13" ht="12.75">
      <c r="B21" s="30">
        <f>Detalhado!B20</f>
        <v>17</v>
      </c>
      <c r="C21" s="30" t="str">
        <f>Detalhado!C20</f>
        <v>(104) 20 kms Almeirim</v>
      </c>
      <c r="D21" s="31">
        <f>Detalhado!D20</f>
        <v>8930</v>
      </c>
      <c r="E21" s="32">
        <f>+Detalhado!E20+Detalhado!I20</f>
        <v>1052.5</v>
      </c>
      <c r="F21" s="32">
        <f>+Detalhado!M20+Detalhado!Q20</f>
        <v>699.3</v>
      </c>
      <c r="G21" s="32">
        <f>+Detalhado!U20+Detalhado!Y20</f>
        <v>1127.6</v>
      </c>
      <c r="H21" s="32">
        <f>+Detalhado!AC20+Detalhado!AG20</f>
        <v>1071.6</v>
      </c>
      <c r="I21" s="32">
        <f>+Detalhado!AK20</f>
        <v>407.9</v>
      </c>
      <c r="J21" s="32">
        <f>+Detalhado!AO20+Detalhado!AS20+Detalhado!AW20+Detalhado!BA20</f>
        <v>1704.6000000000001</v>
      </c>
      <c r="K21" s="32">
        <f>+Detalhado!BE20+Detalhado!BI20</f>
        <v>982.4</v>
      </c>
      <c r="L21" s="44">
        <f>+Detalhado!BM20+Detalhado!BQ20</f>
        <v>1147.6999999999998</v>
      </c>
      <c r="M21" s="44">
        <f>+Detalhado!BU20+Detalhado!BY20</f>
        <v>736.4000000000001</v>
      </c>
    </row>
    <row r="22" spans="2:13" ht="12.75">
      <c r="B22" s="30">
        <f>Detalhado!B21</f>
        <v>18</v>
      </c>
      <c r="C22" s="30" t="str">
        <f>Detalhado!C21</f>
        <v>(3) CIMO</v>
      </c>
      <c r="D22" s="31">
        <f>Detalhado!D21</f>
        <v>8918.8</v>
      </c>
      <c r="E22" s="32">
        <f>+Detalhado!E21+Detalhado!I21</f>
        <v>302.59999999999997</v>
      </c>
      <c r="F22" s="32">
        <f>+Detalhado!M21+Detalhado!Q21</f>
        <v>767.4</v>
      </c>
      <c r="G22" s="32">
        <f>+Detalhado!U21+Detalhado!Y21</f>
        <v>808.4</v>
      </c>
      <c r="H22" s="32">
        <f>+Detalhado!AC21+Detalhado!AG21</f>
        <v>1282</v>
      </c>
      <c r="I22" s="32">
        <f>+Detalhado!AK21</f>
        <v>772.4000000000001</v>
      </c>
      <c r="J22" s="32">
        <f>+Detalhado!AO21+Detalhado!AS21+Detalhado!AW21+Detalhado!BA21</f>
        <v>2166.7</v>
      </c>
      <c r="K22" s="32">
        <f>+Detalhado!BE21+Detalhado!BI21</f>
        <v>1004.2</v>
      </c>
      <c r="L22" s="44">
        <f>+Detalhado!BM21+Detalhado!BQ21</f>
        <v>1145.8</v>
      </c>
      <c r="M22" s="44">
        <f>+Detalhado!BU21+Detalhado!BY21</f>
        <v>669.3</v>
      </c>
    </row>
    <row r="23" spans="2:13" ht="12.75">
      <c r="B23" s="30">
        <f>Detalhado!B22</f>
        <v>19</v>
      </c>
      <c r="C23" s="30" t="str">
        <f>Detalhado!C22</f>
        <v>(114) COA</v>
      </c>
      <c r="D23" s="31">
        <f>Detalhado!D22</f>
        <v>8749.9</v>
      </c>
      <c r="E23" s="32">
        <f>+Detalhado!E22+Detalhado!I22</f>
        <v>0</v>
      </c>
      <c r="F23" s="32">
        <f>+Detalhado!M22+Detalhado!Q22</f>
        <v>766.7</v>
      </c>
      <c r="G23" s="32">
        <f>+Detalhado!U22+Detalhado!Y22</f>
        <v>523.3</v>
      </c>
      <c r="H23" s="32">
        <f>+Detalhado!AC22+Detalhado!AG22</f>
        <v>1684.9</v>
      </c>
      <c r="I23" s="32">
        <f>+Detalhado!AK22</f>
        <v>528.4</v>
      </c>
      <c r="J23" s="32">
        <f>+Detalhado!AO22+Detalhado!AS22+Detalhado!AW22+Detalhado!BA22</f>
        <v>1823.6000000000001</v>
      </c>
      <c r="K23" s="32">
        <f>+Detalhado!BE22+Detalhado!BI22</f>
        <v>1467.3</v>
      </c>
      <c r="L23" s="44">
        <f>+Detalhado!BM22+Detalhado!BQ22</f>
        <v>1262.8</v>
      </c>
      <c r="M23" s="44">
        <f>+Detalhado!BU22+Detalhado!BY22</f>
        <v>692.8999999999999</v>
      </c>
    </row>
    <row r="24" spans="2:13" ht="12.75">
      <c r="B24" s="30">
        <f>Detalhado!B23</f>
        <v>20</v>
      </c>
      <c r="C24" s="30" t="str">
        <f>Detalhado!C23</f>
        <v>(119) OriMarão</v>
      </c>
      <c r="D24" s="31">
        <f>Detalhado!D23</f>
        <v>7452.517647058822</v>
      </c>
      <c r="E24" s="32">
        <f>+Detalhado!E23+Detalhado!I23</f>
        <v>238.7</v>
      </c>
      <c r="F24" s="32">
        <f>+Detalhado!M23+Detalhado!Q23</f>
        <v>951.8</v>
      </c>
      <c r="G24" s="37">
        <f>+Detalhado!U23+Detalhado!Y23</f>
        <v>851.5176470588235</v>
      </c>
      <c r="H24" s="32">
        <f>+Detalhado!AC23+Detalhado!AG23</f>
        <v>640.9</v>
      </c>
      <c r="I24" s="32">
        <f>+Detalhado!AK23</f>
        <v>248.7</v>
      </c>
      <c r="J24" s="32">
        <f>+Detalhado!AO23+Detalhado!AS23+Detalhado!AW23+Detalhado!BA23</f>
        <v>2356.1000000000004</v>
      </c>
      <c r="K24" s="32">
        <f>+Detalhado!BE23+Detalhado!BI23</f>
        <v>595.7</v>
      </c>
      <c r="L24" s="44">
        <f>+Detalhado!BM23+Detalhado!BQ23</f>
        <v>782</v>
      </c>
      <c r="M24" s="44">
        <f>+Detalhado!BU23+Detalhado!BY23</f>
        <v>787.1000000000001</v>
      </c>
    </row>
    <row r="25" spans="2:13" ht="12.75">
      <c r="B25" s="30">
        <f>Detalhado!B24</f>
        <v>21</v>
      </c>
      <c r="C25" s="30" t="str">
        <f>Detalhado!C24</f>
        <v>(33) Clube TAP</v>
      </c>
      <c r="D25" s="31">
        <f>Detalhado!D24</f>
        <v>7253.500000000001</v>
      </c>
      <c r="E25" s="32">
        <f>+Detalhado!E24+Detalhado!I24</f>
        <v>598.7</v>
      </c>
      <c r="F25" s="32">
        <f>+Detalhado!M24+Detalhado!Q24</f>
        <v>783.1</v>
      </c>
      <c r="G25" s="32">
        <f>+Detalhado!U24+Detalhado!Y24</f>
        <v>687.2</v>
      </c>
      <c r="H25" s="32">
        <f>+Detalhado!AC24+Detalhado!AG24</f>
        <v>1055.2</v>
      </c>
      <c r="I25" s="32">
        <f>+Detalhado!AK24</f>
        <v>320.4</v>
      </c>
      <c r="J25" s="32">
        <f>+Detalhado!AO24+Detalhado!AS24+Detalhado!AW24+Detalhado!BA24</f>
        <v>1760.6999999999998</v>
      </c>
      <c r="K25" s="32">
        <f>+Detalhado!BE24+Detalhado!BI24</f>
        <v>892.9000000000001</v>
      </c>
      <c r="L25" s="44">
        <f>+Detalhado!BM24+Detalhado!BQ24</f>
        <v>584.8</v>
      </c>
      <c r="M25" s="44">
        <f>+Detalhado!BU24+Detalhado!BY24</f>
        <v>570.5</v>
      </c>
    </row>
    <row r="26" spans="2:13" ht="12.75">
      <c r="B26" s="30">
        <f>Detalhado!B25</f>
        <v>22</v>
      </c>
      <c r="C26" s="30" t="str">
        <f>Detalhado!C25</f>
        <v>(62) CA Madeira</v>
      </c>
      <c r="D26" s="31">
        <f>Detalhado!D25</f>
        <v>6407.4</v>
      </c>
      <c r="E26" s="32">
        <f>+Detalhado!E25+Detalhado!I25</f>
        <v>753.6</v>
      </c>
      <c r="F26" s="32">
        <f>+Detalhado!M25+Detalhado!Q25</f>
        <v>661.9</v>
      </c>
      <c r="G26" s="32">
        <f>+Detalhado!U25+Detalhado!Y25</f>
        <v>792.9</v>
      </c>
      <c r="H26" s="32">
        <f>+Detalhado!AC25+Detalhado!AG25</f>
        <v>769.2</v>
      </c>
      <c r="I26" s="32">
        <f>+Detalhado!AK25</f>
        <v>191.2</v>
      </c>
      <c r="J26" s="32">
        <f>+Detalhado!AO25+Detalhado!AS25+Detalhado!AW25+Detalhado!BA25</f>
        <v>1082.8999999999999</v>
      </c>
      <c r="K26" s="32">
        <f>+Detalhado!BE25+Detalhado!BI25</f>
        <v>737.5999999999999</v>
      </c>
      <c r="L26" s="44">
        <f>+Detalhado!BM25+Detalhado!BQ25</f>
        <v>729.3</v>
      </c>
      <c r="M26" s="44">
        <f>+Detalhado!BU25+Detalhado!BY25</f>
        <v>688.8</v>
      </c>
    </row>
    <row r="27" spans="2:13" ht="12.75">
      <c r="B27" s="30">
        <f>Detalhado!B26</f>
        <v>23</v>
      </c>
      <c r="C27" s="30" t="str">
        <f>Detalhado!C26</f>
        <v>(81) ACARF</v>
      </c>
      <c r="D27" s="31">
        <f>Detalhado!D26</f>
        <v>5470.5</v>
      </c>
      <c r="E27" s="32">
        <f>+Detalhado!E26+Detalhado!I26</f>
        <v>486.3</v>
      </c>
      <c r="F27" s="32">
        <f>+Detalhado!M26+Detalhado!Q26</f>
        <v>1017.8</v>
      </c>
      <c r="G27" s="32">
        <f>+Detalhado!U26+Detalhado!Y26</f>
        <v>465.5</v>
      </c>
      <c r="H27" s="32">
        <f>+Detalhado!AC26+Detalhado!AG26</f>
        <v>453.1</v>
      </c>
      <c r="I27" s="32">
        <f>+Detalhado!AK26</f>
        <v>320.7</v>
      </c>
      <c r="J27" s="32">
        <f>+Detalhado!AO26+Detalhado!AS26+Detalhado!AW26+Detalhado!BA26</f>
        <v>1554.1</v>
      </c>
      <c r="K27" s="32">
        <f>+Detalhado!BE26+Detalhado!BI26</f>
        <v>430.3</v>
      </c>
      <c r="L27" s="44">
        <f>+Detalhado!BM26+Detalhado!BQ26</f>
        <v>413.7</v>
      </c>
      <c r="M27" s="44">
        <f>+Detalhado!BU26+Detalhado!BY26</f>
        <v>329</v>
      </c>
    </row>
    <row r="28" spans="2:13" ht="12.75">
      <c r="B28" s="30">
        <f>Detalhado!B27</f>
        <v>24</v>
      </c>
      <c r="C28" s="30" t="str">
        <f>Detalhado!C27</f>
        <v>(37) GD Luz Verde</v>
      </c>
      <c r="D28" s="31">
        <f>Detalhado!D27</f>
        <v>4936.7</v>
      </c>
      <c r="E28" s="32">
        <f>+Detalhado!E27+Detalhado!I27</f>
        <v>0</v>
      </c>
      <c r="F28" s="32">
        <f>+Detalhado!M27+Detalhado!Q27</f>
        <v>976</v>
      </c>
      <c r="G28" s="32">
        <f>+Detalhado!U27+Detalhado!Y27</f>
        <v>1392.1000000000001</v>
      </c>
      <c r="H28" s="32">
        <f>+Detalhado!AC27+Detalhado!AG27</f>
        <v>0</v>
      </c>
      <c r="I28" s="32">
        <f>+Detalhado!AK27</f>
        <v>0</v>
      </c>
      <c r="J28" s="32">
        <f>+Detalhado!AO27+Detalhado!AS27+Detalhado!AW27+Detalhado!BA27</f>
        <v>1582.4</v>
      </c>
      <c r="K28" s="32">
        <f>+Detalhado!BE27+Detalhado!BI27</f>
        <v>0</v>
      </c>
      <c r="L28" s="44">
        <f>+Detalhado!BM27+Detalhado!BQ27</f>
        <v>986.1999999999999</v>
      </c>
      <c r="M28" s="44">
        <f>+Detalhado!BU27+Detalhado!BY27</f>
        <v>0</v>
      </c>
    </row>
    <row r="29" spans="2:13" ht="12.75">
      <c r="B29" s="30">
        <f>Detalhado!B28</f>
        <v>25</v>
      </c>
      <c r="C29" s="30" t="str">
        <f>Detalhado!C28</f>
        <v>(35) CN Alvito</v>
      </c>
      <c r="D29" s="31">
        <f>Detalhado!D28</f>
        <v>4352</v>
      </c>
      <c r="E29" s="32">
        <f>+Detalhado!E28+Detalhado!I28</f>
        <v>350.6</v>
      </c>
      <c r="F29" s="32">
        <f>+Detalhado!M28+Detalhado!Q28</f>
        <v>429.3</v>
      </c>
      <c r="G29" s="32">
        <f>+Detalhado!U28+Detalhado!Y28</f>
        <v>366.3</v>
      </c>
      <c r="H29" s="32">
        <f>+Detalhado!AC28+Detalhado!AG28</f>
        <v>561.3</v>
      </c>
      <c r="I29" s="32">
        <f>+Detalhado!AK28</f>
        <v>420.69999999999993</v>
      </c>
      <c r="J29" s="32">
        <f>+Detalhado!AO28+Detalhado!AS28+Detalhado!AW28+Detalhado!BA28</f>
        <v>0</v>
      </c>
      <c r="K29" s="32">
        <f>+Detalhado!BE28+Detalhado!BI28</f>
        <v>855.9000000000001</v>
      </c>
      <c r="L29" s="44">
        <f>+Detalhado!BM28+Detalhado!BQ28</f>
        <v>1032.4</v>
      </c>
      <c r="M29" s="44">
        <f>+Detalhado!BU28+Detalhado!BY28</f>
        <v>335.5</v>
      </c>
    </row>
    <row r="30" spans="2:13" ht="12.75">
      <c r="B30" s="30">
        <f>Detalhado!B29</f>
        <v>26</v>
      </c>
      <c r="C30" s="30" t="str">
        <f>Detalhado!C29</f>
        <v>(127) GCFigueirense</v>
      </c>
      <c r="D30" s="31">
        <f>Detalhado!D29</f>
        <v>4040.7999999999993</v>
      </c>
      <c r="E30" s="32">
        <f>+Detalhado!E29+Detalhado!I29</f>
        <v>0</v>
      </c>
      <c r="F30" s="32">
        <f>+Detalhado!M29+Detalhado!Q29</f>
        <v>0</v>
      </c>
      <c r="G30" s="32">
        <f>+Detalhado!U29+Detalhado!Y29</f>
        <v>407.1</v>
      </c>
      <c r="H30" s="32">
        <f>+Detalhado!AC29+Detalhado!AG29</f>
        <v>979.6</v>
      </c>
      <c r="I30" s="32">
        <f>+Detalhado!AK29</f>
        <v>274.7</v>
      </c>
      <c r="J30" s="32">
        <f>+Detalhado!AO29+Detalhado!AS29+Detalhado!AW29+Detalhado!BA29</f>
        <v>1397.4</v>
      </c>
      <c r="K30" s="32">
        <f>+Detalhado!BE29+Detalhado!BI29</f>
        <v>371.29999999999995</v>
      </c>
      <c r="L30" s="44">
        <f>+Detalhado!BM29+Detalhado!BQ29</f>
        <v>216.2</v>
      </c>
      <c r="M30" s="44">
        <f>+Detalhado!BU29+Detalhado!BY29</f>
        <v>394.5</v>
      </c>
    </row>
    <row r="31" spans="2:13" ht="12.75">
      <c r="B31" s="30">
        <f>Detalhado!B30</f>
        <v>27</v>
      </c>
      <c r="C31" s="30" t="str">
        <f>Detalhado!C30</f>
        <v>(69) CP-EDP</v>
      </c>
      <c r="D31" s="31">
        <f>Detalhado!D30</f>
        <v>2898.7000000000003</v>
      </c>
      <c r="E31" s="32">
        <f>+Detalhado!E30+Detalhado!I30</f>
        <v>174.2</v>
      </c>
      <c r="F31" s="32">
        <f>+Detalhado!M30+Detalhado!Q30</f>
        <v>307.5</v>
      </c>
      <c r="G31" s="32">
        <f>+Detalhado!U30+Detalhado!Y30</f>
        <v>247</v>
      </c>
      <c r="H31" s="32">
        <f>+Detalhado!AC30+Detalhado!AG30</f>
        <v>289.4</v>
      </c>
      <c r="I31" s="32">
        <f>+Detalhado!AK30</f>
        <v>257.4</v>
      </c>
      <c r="J31" s="32">
        <f>+Detalhado!AO30+Detalhado!AS30+Detalhado!AW30+Detalhado!BA30</f>
        <v>920.5999999999999</v>
      </c>
      <c r="K31" s="32">
        <f>+Detalhado!BE30+Detalhado!BI30</f>
        <v>304.6</v>
      </c>
      <c r="L31" s="44">
        <f>+Detalhado!BM30+Detalhado!BQ30</f>
        <v>290.9</v>
      </c>
      <c r="M31" s="44">
        <f>+Detalhado!BU30+Detalhado!BY30</f>
        <v>107.1</v>
      </c>
    </row>
    <row r="32" spans="2:13" ht="12.75">
      <c r="B32" s="30">
        <f>Detalhado!B31</f>
        <v>28</v>
      </c>
      <c r="C32" s="30" t="str">
        <f>Detalhado!C31</f>
        <v>(73) CMO Funchal</v>
      </c>
      <c r="D32" s="31">
        <f>Detalhado!D31</f>
        <v>2716.8000000000006</v>
      </c>
      <c r="E32" s="32">
        <f>+Detalhado!E31+Detalhado!I31</f>
        <v>0</v>
      </c>
      <c r="F32" s="32">
        <f>+Detalhado!M31+Detalhado!Q31</f>
        <v>399.8</v>
      </c>
      <c r="G32" s="32">
        <f>+Detalhado!U31+Detalhado!Y31</f>
        <v>317</v>
      </c>
      <c r="H32" s="32">
        <f>+Detalhado!AC31+Detalhado!AG31</f>
        <v>426.6</v>
      </c>
      <c r="I32" s="32">
        <f>+Detalhado!AK31</f>
        <v>307.7</v>
      </c>
      <c r="J32" s="32">
        <f>+Detalhado!AO31+Detalhado!AS31+Detalhado!AW31+Detalhado!BA31</f>
        <v>841.8</v>
      </c>
      <c r="K32" s="32">
        <f>+Detalhado!BE31+Detalhado!BI31</f>
        <v>0</v>
      </c>
      <c r="L32" s="44">
        <f>+Detalhado!BM31+Detalhado!BQ31</f>
        <v>223.8</v>
      </c>
      <c r="M32" s="44">
        <f>+Detalhado!BU31+Detalhado!BY31</f>
        <v>200.10000000000002</v>
      </c>
    </row>
    <row r="33" spans="2:13" ht="12.75">
      <c r="B33" s="30">
        <f>Detalhado!B32</f>
        <v>29</v>
      </c>
      <c r="C33" s="30" t="str">
        <f>Detalhado!C32</f>
        <v>(93) CDAM Sul</v>
      </c>
      <c r="D33" s="31">
        <f>Detalhado!D32</f>
        <v>2713.8</v>
      </c>
      <c r="E33" s="32">
        <f>+Detalhado!E32+Detalhado!I32</f>
        <v>0</v>
      </c>
      <c r="F33" s="32">
        <f>+Detalhado!M32+Detalhado!Q32</f>
        <v>0</v>
      </c>
      <c r="G33" s="32">
        <f>+Detalhado!U32+Detalhado!Y32</f>
        <v>437</v>
      </c>
      <c r="H33" s="32">
        <f>+Detalhado!AC32+Detalhado!AG32</f>
        <v>0</v>
      </c>
      <c r="I33" s="32">
        <f>+Detalhado!AK32</f>
        <v>46.9</v>
      </c>
      <c r="J33" s="32">
        <f>+Detalhado!AO32+Detalhado!AS32+Detalhado!AW32+Detalhado!BA32</f>
        <v>375.9</v>
      </c>
      <c r="K33" s="32">
        <f>+Detalhado!BE32+Detalhado!BI32</f>
        <v>883.5</v>
      </c>
      <c r="L33" s="44">
        <f>+Detalhado!BM32+Detalhado!BQ32</f>
        <v>699.5</v>
      </c>
      <c r="M33" s="44">
        <f>+Detalhado!BU32+Detalhado!BY32</f>
        <v>271</v>
      </c>
    </row>
    <row r="34" spans="2:13" ht="12.75">
      <c r="B34" s="30">
        <f>Detalhado!B33</f>
        <v>30</v>
      </c>
      <c r="C34" s="30" t="str">
        <f>Detalhado!C33</f>
        <v>(133) GDU Azóia</v>
      </c>
      <c r="D34" s="31">
        <f>Detalhado!D33</f>
        <v>2279.2</v>
      </c>
      <c r="E34" s="32">
        <f>+Detalhado!E33+Detalhado!I33</f>
        <v>0</v>
      </c>
      <c r="F34" s="32">
        <f>+Detalhado!M33+Detalhado!Q33</f>
        <v>0</v>
      </c>
      <c r="G34" s="32">
        <f>+Detalhado!U33+Detalhado!Y33</f>
        <v>0</v>
      </c>
      <c r="H34" s="32">
        <f>+Detalhado!AC33+Detalhado!AG33</f>
        <v>580.4</v>
      </c>
      <c r="I34" s="32">
        <f>+Detalhado!AK33</f>
        <v>227.7</v>
      </c>
      <c r="J34" s="32">
        <f>+Detalhado!AO33+Detalhado!AS33+Detalhado!AW33+Detalhado!BA33</f>
        <v>51.1</v>
      </c>
      <c r="K34" s="32">
        <f>+Detalhado!BE33+Detalhado!BI33</f>
        <v>238.1</v>
      </c>
      <c r="L34" s="44">
        <f>+Detalhado!BM33+Detalhado!BQ33</f>
        <v>576.4</v>
      </c>
      <c r="M34" s="44">
        <f>+Detalhado!BU33+Detalhado!BY33</f>
        <v>605.5</v>
      </c>
    </row>
    <row r="35" spans="2:13" ht="12.75">
      <c r="B35" s="30">
        <f>Detalhado!B34</f>
        <v>31</v>
      </c>
      <c r="C35" s="30" t="str">
        <f>Detalhado!C34</f>
        <v>(8) CP EPAL</v>
      </c>
      <c r="D35" s="31">
        <f>Detalhado!D34</f>
        <v>2250.9</v>
      </c>
      <c r="E35" s="32">
        <f>+Detalhado!E34+Detalhado!I34</f>
        <v>199.9</v>
      </c>
      <c r="F35" s="32">
        <f>+Detalhado!M34+Detalhado!Q34</f>
        <v>267.20000000000005</v>
      </c>
      <c r="G35" s="32">
        <f>+Detalhado!U34+Detalhado!Y34</f>
        <v>289.8</v>
      </c>
      <c r="H35" s="32">
        <f>+Detalhado!AC34+Detalhado!AG34</f>
        <v>0</v>
      </c>
      <c r="I35" s="32">
        <f>+Detalhado!AK34</f>
        <v>156</v>
      </c>
      <c r="J35" s="32">
        <f>+Detalhado!AO34+Detalhado!AS34+Detalhado!AW34+Detalhado!BA34</f>
        <v>444.59999999999997</v>
      </c>
      <c r="K35" s="32">
        <f>+Detalhado!BE34+Detalhado!BI34</f>
        <v>360</v>
      </c>
      <c r="L35" s="44">
        <f>+Detalhado!BM34+Detalhado!BQ34</f>
        <v>305.6</v>
      </c>
      <c r="M35" s="44">
        <f>+Detalhado!BU34+Detalhado!BY34</f>
        <v>227.8</v>
      </c>
    </row>
    <row r="36" spans="2:13" ht="12.75">
      <c r="B36" s="30">
        <f>Detalhado!B35</f>
        <v>32</v>
      </c>
      <c r="C36" s="30" t="str">
        <f>Detalhado!C35</f>
        <v>(116) SSMGeral</v>
      </c>
      <c r="D36" s="31">
        <f>Detalhado!D35</f>
        <v>2091.8999999999996</v>
      </c>
      <c r="E36" s="32">
        <f>+Detalhado!E35+Detalhado!I35</f>
        <v>150</v>
      </c>
      <c r="F36" s="32">
        <f>+Detalhado!M35+Detalhado!Q35</f>
        <v>209.2</v>
      </c>
      <c r="G36" s="32">
        <f>+Detalhado!U35+Detalhado!Y35</f>
        <v>291.20000000000005</v>
      </c>
      <c r="H36" s="32">
        <f>+Detalhado!AC35+Detalhado!AG35</f>
        <v>190.6</v>
      </c>
      <c r="I36" s="32">
        <f>+Detalhado!AK35</f>
        <v>139.1</v>
      </c>
      <c r="J36" s="32">
        <f>+Detalhado!AO35+Detalhado!AS35+Detalhado!AW35+Detalhado!BA35</f>
        <v>381.00000000000006</v>
      </c>
      <c r="K36" s="32">
        <f>+Detalhado!BE35+Detalhado!BI35</f>
        <v>263.9</v>
      </c>
      <c r="L36" s="44">
        <f>+Detalhado!BM35+Detalhado!BQ35</f>
        <v>217.89999999999998</v>
      </c>
      <c r="M36" s="44">
        <f>+Detalhado!BU35+Detalhado!BY35</f>
        <v>249</v>
      </c>
    </row>
    <row r="37" spans="2:13" ht="12.75">
      <c r="B37" s="30">
        <f>Detalhado!B36</f>
        <v>33</v>
      </c>
      <c r="C37" s="30" t="str">
        <f>Detalhado!C36</f>
        <v>(128) COALA</v>
      </c>
      <c r="D37" s="31">
        <f>Detalhado!D36</f>
        <v>1983.9999999999998</v>
      </c>
      <c r="E37" s="32">
        <f>+Detalhado!E36+Detalhado!I36</f>
        <v>0</v>
      </c>
      <c r="F37" s="32">
        <f>+Detalhado!M36+Detalhado!Q36</f>
        <v>152.7</v>
      </c>
      <c r="G37" s="32">
        <f>+Detalhado!U36+Detalhado!Y36</f>
        <v>65.7</v>
      </c>
      <c r="H37" s="32">
        <f>+Detalhado!AC36+Detalhado!AG36</f>
        <v>0</v>
      </c>
      <c r="I37" s="32">
        <f>+Detalhado!AK36</f>
        <v>158.3</v>
      </c>
      <c r="J37" s="32">
        <f>+Detalhado!AO36+Detalhado!AS36+Detalhado!AW36+Detalhado!BA36</f>
        <v>742.5</v>
      </c>
      <c r="K37" s="32">
        <f>+Detalhado!BE36+Detalhado!BI36</f>
        <v>313.90000000000003</v>
      </c>
      <c r="L37" s="44">
        <f>+Detalhado!BM36+Detalhado!BQ36</f>
        <v>268.9</v>
      </c>
      <c r="M37" s="44">
        <f>+Detalhado!BU36+Detalhado!BY36</f>
        <v>282</v>
      </c>
    </row>
    <row r="38" spans="2:13" ht="12.75">
      <c r="B38" s="30">
        <f>Detalhado!B37</f>
        <v>34</v>
      </c>
      <c r="C38" s="30" t="str">
        <f>Detalhado!C37</f>
        <v>(113) APCA</v>
      </c>
      <c r="D38" s="31">
        <f>Detalhado!D37</f>
        <v>1858.1</v>
      </c>
      <c r="E38" s="32">
        <f>+Detalhado!E37+Detalhado!I37</f>
        <v>0</v>
      </c>
      <c r="F38" s="32">
        <f>+Detalhado!M37+Detalhado!Q37</f>
        <v>0</v>
      </c>
      <c r="G38" s="32">
        <f>+Detalhado!U37+Detalhado!Y37</f>
        <v>252.6</v>
      </c>
      <c r="H38" s="32">
        <f>+Detalhado!AC37+Detalhado!AG37</f>
        <v>0</v>
      </c>
      <c r="I38" s="32">
        <f>+Detalhado!AK37</f>
        <v>204.4</v>
      </c>
      <c r="J38" s="32">
        <f>+Detalhado!AO37+Detalhado!AS37+Detalhado!AW37+Detalhado!BA37</f>
        <v>685.2</v>
      </c>
      <c r="K38" s="32">
        <f>+Detalhado!BE37+Detalhado!BI37</f>
        <v>242</v>
      </c>
      <c r="L38" s="44">
        <f>+Detalhado!BM37+Detalhado!BQ37</f>
        <v>228.89999999999998</v>
      </c>
      <c r="M38" s="44">
        <f>+Detalhado!BU37+Detalhado!BY37</f>
        <v>245</v>
      </c>
    </row>
    <row r="39" spans="2:13" ht="12.75">
      <c r="B39" s="30">
        <f>Detalhado!B38</f>
        <v>35</v>
      </c>
      <c r="C39" s="30" t="str">
        <f>Detalhado!C38</f>
        <v>(124) CCDS José</v>
      </c>
      <c r="D39" s="31">
        <f>Detalhado!D38</f>
        <v>1721.6000000000004</v>
      </c>
      <c r="E39" s="32">
        <f>+Detalhado!E38+Detalhado!I38</f>
        <v>0</v>
      </c>
      <c r="F39" s="32">
        <f>+Detalhado!M38+Detalhado!Q38</f>
        <v>251.4</v>
      </c>
      <c r="G39" s="32">
        <f>+Detalhado!U38+Detalhado!Y38</f>
        <v>232.1</v>
      </c>
      <c r="H39" s="32">
        <f>+Detalhado!AC38+Detalhado!AG38</f>
        <v>174.3</v>
      </c>
      <c r="I39" s="32">
        <f>+Detalhado!AK38</f>
        <v>112</v>
      </c>
      <c r="J39" s="32">
        <f>+Detalhado!AO38+Detalhado!AS38+Detalhado!AW38+Detalhado!BA38</f>
        <v>420.09999999999997</v>
      </c>
      <c r="K39" s="32">
        <f>+Detalhado!BE38+Detalhado!BI38</f>
        <v>252.7</v>
      </c>
      <c r="L39" s="44">
        <f>+Detalhado!BM38+Detalhado!BQ38</f>
        <v>207.60000000000002</v>
      </c>
      <c r="M39" s="44">
        <f>+Detalhado!BU38+Detalhado!BY38</f>
        <v>71.4</v>
      </c>
    </row>
    <row r="40" spans="2:13" ht="12.75">
      <c r="B40" s="30">
        <f>Detalhado!B39</f>
        <v>36</v>
      </c>
      <c r="C40" s="30" t="str">
        <f>Detalhado!C39</f>
        <v>(103) ADADesnível</v>
      </c>
      <c r="D40" s="31">
        <f>Detalhado!D39</f>
        <v>1134</v>
      </c>
      <c r="E40" s="32">
        <f>+Detalhado!E39+Detalhado!I39</f>
        <v>250.4</v>
      </c>
      <c r="F40" s="32">
        <f>+Detalhado!M39+Detalhado!Q39</f>
        <v>86.9</v>
      </c>
      <c r="G40" s="32">
        <f>+Detalhado!U39+Detalhado!Y39</f>
        <v>143.3</v>
      </c>
      <c r="H40" s="32">
        <f>+Detalhado!AC39+Detalhado!AG39</f>
        <v>97.8</v>
      </c>
      <c r="I40" s="32">
        <f>+Detalhado!AK39</f>
        <v>141.6</v>
      </c>
      <c r="J40" s="32">
        <f>+Detalhado!AO39+Detalhado!AS39+Detalhado!AW39+Detalhado!BA39</f>
        <v>52.6</v>
      </c>
      <c r="K40" s="32">
        <f>+Detalhado!BE39+Detalhado!BI39</f>
        <v>66.7</v>
      </c>
      <c r="L40" s="44">
        <f>+Detalhado!BM39+Detalhado!BQ39</f>
        <v>162.5</v>
      </c>
      <c r="M40" s="44">
        <f>+Detalhado!BU39+Detalhado!BY39</f>
        <v>132.2</v>
      </c>
    </row>
    <row r="41" spans="2:13" ht="12.75">
      <c r="B41" s="30">
        <f>Detalhado!B40</f>
        <v>37</v>
      </c>
      <c r="C41" s="30" t="str">
        <f>Detalhado!C40</f>
        <v>(136) SRSP Gafanhoeira</v>
      </c>
      <c r="D41" s="31">
        <f>Detalhado!D40</f>
        <v>1125.4</v>
      </c>
      <c r="E41" s="32">
        <f>+Detalhado!E40+Detalhado!I40</f>
        <v>0</v>
      </c>
      <c r="F41" s="32">
        <f>+Detalhado!M40+Detalhado!Q40</f>
        <v>0</v>
      </c>
      <c r="G41" s="32">
        <f>+Detalhado!U40+Detalhado!Y40</f>
        <v>0</v>
      </c>
      <c r="H41" s="32">
        <f>+Detalhado!AC40+Detalhado!AG40</f>
        <v>0</v>
      </c>
      <c r="I41" s="32">
        <f>+Detalhado!AK40</f>
        <v>0</v>
      </c>
      <c r="J41" s="32">
        <f>+Detalhado!AO40+Detalhado!AS40+Detalhado!AW40+Detalhado!BA40</f>
        <v>0</v>
      </c>
      <c r="K41" s="32">
        <f>+Detalhado!BE40+Detalhado!BI40</f>
        <v>335.9</v>
      </c>
      <c r="L41" s="44">
        <f>+Detalhado!BM40+Detalhado!BQ40</f>
        <v>789.5</v>
      </c>
      <c r="M41" s="44">
        <f>+Detalhado!BU40+Detalhado!BY40</f>
        <v>0</v>
      </c>
    </row>
    <row r="42" spans="2:13" ht="12.75">
      <c r="B42" s="30">
        <f>Detalhado!B41</f>
        <v>38</v>
      </c>
      <c r="C42" s="30" t="str">
        <f>Detalhado!C41</f>
        <v>(54) N.A.D.A.</v>
      </c>
      <c r="D42" s="31">
        <f>Detalhado!D41</f>
        <v>1056.4</v>
      </c>
      <c r="E42" s="32">
        <f>+Detalhado!E41+Detalhado!I41</f>
        <v>151.7</v>
      </c>
      <c r="F42" s="32">
        <f>+Detalhado!M41+Detalhado!Q41</f>
        <v>0</v>
      </c>
      <c r="G42" s="32">
        <f>+Detalhado!U41+Detalhado!Y41</f>
        <v>0</v>
      </c>
      <c r="H42" s="32">
        <f>+Detalhado!AC41+Detalhado!AG41</f>
        <v>447</v>
      </c>
      <c r="I42" s="32">
        <f>+Detalhado!AK41</f>
        <v>0</v>
      </c>
      <c r="J42" s="32">
        <f>+Detalhado!AO41+Detalhado!AS41+Detalhado!AW41+Detalhado!BA41</f>
        <v>360.4</v>
      </c>
      <c r="K42" s="32">
        <f>+Detalhado!BE41+Detalhado!BI41</f>
        <v>0</v>
      </c>
      <c r="L42" s="44">
        <f>+Detalhado!BM41+Detalhado!BQ41</f>
        <v>97.3</v>
      </c>
      <c r="M42" s="44">
        <f>+Detalhado!BU41+Detalhado!BY41</f>
        <v>0</v>
      </c>
    </row>
    <row r="43" spans="2:13" ht="12.75">
      <c r="B43" s="30">
        <f>Detalhado!B42</f>
        <v>39</v>
      </c>
      <c r="C43" s="30" t="str">
        <f>Detalhado!C42</f>
        <v>(95) ALA</v>
      </c>
      <c r="D43" s="31">
        <f>Detalhado!D42</f>
        <v>758.8000000000001</v>
      </c>
      <c r="E43" s="32">
        <f>+Detalhado!E42+Detalhado!I42</f>
        <v>0</v>
      </c>
      <c r="F43" s="32">
        <f>+Detalhado!M42+Detalhado!Q42</f>
        <v>107.5</v>
      </c>
      <c r="G43" s="32">
        <f>+Detalhado!U42+Detalhado!Y42</f>
        <v>0</v>
      </c>
      <c r="H43" s="32">
        <f>+Detalhado!AC42+Detalhado!AG42</f>
        <v>255.1</v>
      </c>
      <c r="I43" s="32">
        <f>+Detalhado!AK42</f>
        <v>147</v>
      </c>
      <c r="J43" s="32">
        <f>+Detalhado!AO42+Detalhado!AS42+Detalhado!AW42+Detalhado!BA42</f>
        <v>170</v>
      </c>
      <c r="K43" s="32">
        <f>+Detalhado!BE42+Detalhado!BI42</f>
        <v>79.2</v>
      </c>
      <c r="L43" s="44">
        <f>+Detalhado!BM42+Detalhado!BQ42</f>
        <v>0</v>
      </c>
      <c r="M43" s="44">
        <f>+Detalhado!BU42+Detalhado!BY42</f>
        <v>0</v>
      </c>
    </row>
    <row r="44" spans="2:13" ht="12.75">
      <c r="B44" s="30">
        <f>Detalhado!B43</f>
        <v>40</v>
      </c>
      <c r="C44" s="30" t="str">
        <f>Detalhado!C43</f>
        <v>(41) C. Portela</v>
      </c>
      <c r="D44" s="31">
        <f>Detalhado!D43</f>
        <v>712.7</v>
      </c>
      <c r="E44" s="32">
        <f>+Detalhado!E43+Detalhado!I43</f>
        <v>0</v>
      </c>
      <c r="F44" s="32">
        <f>+Detalhado!M43+Detalhado!Q43</f>
        <v>0</v>
      </c>
      <c r="G44" s="32">
        <f>+Detalhado!U43+Detalhado!Y43</f>
        <v>0</v>
      </c>
      <c r="H44" s="32">
        <f>+Detalhado!AC43+Detalhado!AG43</f>
        <v>193.10000000000002</v>
      </c>
      <c r="I44" s="32">
        <f>+Detalhado!AK43</f>
        <v>44.5</v>
      </c>
      <c r="J44" s="32">
        <f>+Detalhado!AO43+Detalhado!AS43+Detalhado!AW43+Detalhado!BA43</f>
        <v>0</v>
      </c>
      <c r="K44" s="32">
        <f>+Detalhado!BE43+Detalhado!BI43</f>
        <v>156.6</v>
      </c>
      <c r="L44" s="44">
        <f>+Detalhado!BM43+Detalhado!BQ43</f>
        <v>186.39999999999998</v>
      </c>
      <c r="M44" s="44">
        <f>+Detalhado!BU43+Detalhado!BY43</f>
        <v>132.10000000000002</v>
      </c>
    </row>
    <row r="45" spans="2:13" ht="12.75">
      <c r="B45" s="30">
        <f>Detalhado!B44</f>
        <v>41</v>
      </c>
      <c r="C45" s="30" t="str">
        <f>Detalhado!C44</f>
        <v>COViseu</v>
      </c>
      <c r="D45" s="31">
        <f>Detalhado!D44</f>
        <v>617.6</v>
      </c>
      <c r="E45" s="32">
        <f>+Detalhado!E44+Detalhado!I44</f>
        <v>0</v>
      </c>
      <c r="F45" s="32">
        <f>+Detalhado!M44+Detalhado!Q44</f>
        <v>0</v>
      </c>
      <c r="G45" s="32">
        <f>+Detalhado!U44+Detalhado!Y44</f>
        <v>0</v>
      </c>
      <c r="H45" s="32">
        <f>+Detalhado!AC44+Detalhado!AG44</f>
        <v>0</v>
      </c>
      <c r="I45" s="32">
        <f>+Detalhado!AK44</f>
        <v>0</v>
      </c>
      <c r="J45" s="32">
        <f>+Detalhado!AO44+Detalhado!AS44+Detalhado!AW44+Detalhado!BA44</f>
        <v>617.6</v>
      </c>
      <c r="K45" s="32">
        <f>+Detalhado!BE44+Detalhado!BI44</f>
        <v>0</v>
      </c>
      <c r="L45" s="44">
        <f>+Detalhado!BM44+Detalhado!BQ44</f>
        <v>0</v>
      </c>
      <c r="M45" s="44">
        <f>+Detalhado!BU44+Detalhado!BY44</f>
        <v>0</v>
      </c>
    </row>
    <row r="46" spans="2:13" ht="12.75">
      <c r="B46" s="30">
        <f>Detalhado!B45</f>
        <v>42</v>
      </c>
      <c r="C46" s="30" t="str">
        <f>Detalhado!C45</f>
        <v>(97) Millenium BCP</v>
      </c>
      <c r="D46" s="31">
        <f>Detalhado!D45</f>
        <v>564.4</v>
      </c>
      <c r="E46" s="32">
        <f>+Detalhado!E45+Detalhado!I45</f>
        <v>0</v>
      </c>
      <c r="F46" s="32">
        <f>+Detalhado!M45+Detalhado!Q45</f>
        <v>0</v>
      </c>
      <c r="G46" s="32">
        <f>+Detalhado!U45+Detalhado!Y45</f>
        <v>0</v>
      </c>
      <c r="H46" s="32">
        <f>+Detalhado!AC45+Detalhado!AG45</f>
        <v>0</v>
      </c>
      <c r="I46" s="32">
        <f>+Detalhado!AK45</f>
        <v>192.1</v>
      </c>
      <c r="J46" s="32">
        <f>+Detalhado!AO45+Detalhado!AS45+Detalhado!AW45+Detalhado!BA45</f>
        <v>65.1</v>
      </c>
      <c r="K46" s="32">
        <f>+Detalhado!BE45+Detalhado!BI45</f>
        <v>0</v>
      </c>
      <c r="L46" s="44">
        <f>+Detalhado!BM45+Detalhado!BQ45</f>
        <v>197.1</v>
      </c>
      <c r="M46" s="44">
        <f>+Detalhado!BU45+Detalhado!BY45</f>
        <v>110.1</v>
      </c>
    </row>
    <row r="47" spans="2:13" ht="12.75">
      <c r="B47" s="30">
        <f>Detalhado!B46</f>
        <v>43</v>
      </c>
      <c r="C47" s="30" t="str">
        <f>Detalhado!C46</f>
        <v>(82) CDCE</v>
      </c>
      <c r="D47" s="31">
        <f>Detalhado!D46</f>
        <v>320.9</v>
      </c>
      <c r="E47" s="32">
        <f>+Detalhado!E46+Detalhado!I46</f>
        <v>0</v>
      </c>
      <c r="F47" s="32">
        <f>+Detalhado!M46+Detalhado!Q46</f>
        <v>0</v>
      </c>
      <c r="G47" s="32">
        <f>+Detalhado!U46+Detalhado!Y46</f>
        <v>0</v>
      </c>
      <c r="H47" s="32">
        <f>+Detalhado!AC46+Detalhado!AG46</f>
        <v>103.5</v>
      </c>
      <c r="I47" s="32">
        <f>+Detalhado!AK46</f>
        <v>0</v>
      </c>
      <c r="J47" s="32">
        <f>+Detalhado!AO46+Detalhado!AS46+Detalhado!AW46+Detalhado!BA46</f>
        <v>0</v>
      </c>
      <c r="K47" s="32">
        <f>+Detalhado!BE46+Detalhado!BI46</f>
        <v>0</v>
      </c>
      <c r="L47" s="44">
        <f>+Detalhado!BM46+Detalhado!BQ46</f>
        <v>123</v>
      </c>
      <c r="M47" s="44">
        <f>+Detalhado!BU46+Detalhado!BY46</f>
        <v>94.4</v>
      </c>
    </row>
    <row r="48" spans="2:13" ht="12.75">
      <c r="B48" s="30">
        <f>Detalhado!B47</f>
        <v>44</v>
      </c>
      <c r="C48" s="30" t="str">
        <f>Detalhado!C47</f>
        <v>(75) JD Fontaínhas</v>
      </c>
      <c r="D48" s="31">
        <f>Detalhado!D47</f>
        <v>174.4</v>
      </c>
      <c r="E48" s="32">
        <f>+Detalhado!E47+Detalhado!I47</f>
        <v>0</v>
      </c>
      <c r="F48" s="32">
        <f>+Detalhado!M47+Detalhado!Q47</f>
        <v>0</v>
      </c>
      <c r="G48" s="32">
        <f>+Detalhado!U47+Detalhado!Y47</f>
        <v>0</v>
      </c>
      <c r="H48" s="32">
        <f>+Detalhado!AC47+Detalhado!AG47</f>
        <v>0</v>
      </c>
      <c r="I48" s="32">
        <f>+Detalhado!AK47</f>
        <v>0</v>
      </c>
      <c r="J48" s="32">
        <f>+Detalhado!AO47+Detalhado!AS47+Detalhado!AW47+Detalhado!BA47</f>
        <v>53.3</v>
      </c>
      <c r="K48" s="32">
        <f>+Detalhado!BE47+Detalhado!BI47</f>
        <v>0</v>
      </c>
      <c r="L48" s="44">
        <f>+Detalhado!BM47+Detalhado!BQ47</f>
        <v>121.10000000000001</v>
      </c>
      <c r="M48" s="44">
        <f>+Detalhado!BU47+Detalhado!BY47</f>
        <v>0</v>
      </c>
    </row>
    <row r="49" spans="2:13" ht="12.75">
      <c r="B49" s="30">
        <f>Detalhado!B48</f>
        <v>45</v>
      </c>
      <c r="C49" s="30" t="str">
        <f>Detalhado!C48</f>
        <v>(129) GDCT Brisa</v>
      </c>
      <c r="D49" s="31">
        <f>Detalhado!D48</f>
        <v>104.5</v>
      </c>
      <c r="E49" s="32">
        <f>+Detalhado!E48+Detalhado!I48</f>
        <v>0</v>
      </c>
      <c r="F49" s="32">
        <f>+Detalhado!M48+Detalhado!Q48</f>
        <v>0</v>
      </c>
      <c r="G49" s="32">
        <f>+Detalhado!U48+Detalhado!Y48</f>
        <v>0</v>
      </c>
      <c r="H49" s="32">
        <f>+Detalhado!AC48+Detalhado!AG48</f>
        <v>0</v>
      </c>
      <c r="I49" s="32">
        <f>+Detalhado!AK48</f>
        <v>0</v>
      </c>
      <c r="J49" s="32">
        <f>+Detalhado!AO48+Detalhado!AS48+Detalhado!AW48+Detalhado!BA48</f>
        <v>0</v>
      </c>
      <c r="K49" s="32">
        <f>+Detalhado!BE48+Detalhado!BI48</f>
        <v>0</v>
      </c>
      <c r="L49" s="44">
        <f>+Detalhado!BM48+Detalhado!BQ48</f>
        <v>0</v>
      </c>
      <c r="M49" s="44">
        <f>+Detalhado!BU48+Detalhado!BY48</f>
        <v>104.5</v>
      </c>
    </row>
    <row r="50" spans="2:13" ht="12.75">
      <c r="B50" s="30">
        <f>Detalhado!B49</f>
        <v>46</v>
      </c>
      <c r="C50" s="30" t="str">
        <f>Detalhado!C49</f>
        <v>(122) CCA Amora</v>
      </c>
      <c r="D50" s="31">
        <f>Detalhado!D49</f>
        <v>59</v>
      </c>
      <c r="E50" s="32">
        <f>+Detalhado!E49+Detalhado!I49</f>
        <v>0</v>
      </c>
      <c r="F50" s="32">
        <f>+Detalhado!M49+Detalhado!Q49</f>
        <v>0</v>
      </c>
      <c r="G50" s="32">
        <f>+Detalhado!U49+Detalhado!Y49</f>
        <v>0</v>
      </c>
      <c r="H50" s="32">
        <f>+Detalhado!AC49+Detalhado!AG49</f>
        <v>0</v>
      </c>
      <c r="I50" s="32">
        <f>+Detalhado!AK49</f>
        <v>31.3</v>
      </c>
      <c r="J50" s="32">
        <f>+Detalhado!AO49+Detalhado!AS49+Detalhado!AW49+Detalhado!BA49</f>
        <v>0</v>
      </c>
      <c r="K50" s="32">
        <f>+Detalhado!BE49+Detalhado!BI49</f>
        <v>0</v>
      </c>
      <c r="L50" s="44">
        <f>+Detalhado!BM49+Detalhado!BQ49</f>
        <v>27.7</v>
      </c>
      <c r="M50" s="44">
        <f>+Detalhado!BU49+Detalhado!BY49</f>
        <v>0</v>
      </c>
    </row>
    <row r="51" spans="2:13" ht="12.75">
      <c r="B51" s="30">
        <f>Detalhado!B50</f>
        <v>47</v>
      </c>
      <c r="C51" s="30" t="str">
        <f>Detalhado!C50</f>
        <v>(106) Às 11 no Farol</v>
      </c>
      <c r="D51" s="31">
        <f>Detalhado!D50</f>
        <v>37</v>
      </c>
      <c r="E51" s="32">
        <f>+Detalhado!E50+Detalhado!I50</f>
        <v>0</v>
      </c>
      <c r="F51" s="32">
        <f>+Detalhado!M50+Detalhado!Q50</f>
        <v>37</v>
      </c>
      <c r="G51" s="32">
        <f>+Detalhado!U50+Detalhado!Y50</f>
        <v>0</v>
      </c>
      <c r="H51" s="32">
        <f>+Detalhado!AC50+Detalhado!AG50</f>
        <v>0</v>
      </c>
      <c r="I51" s="32">
        <f>+Detalhado!AK50</f>
        <v>0</v>
      </c>
      <c r="J51" s="32">
        <f>+Detalhado!AO50+Detalhado!AS50+Detalhado!AW50+Detalhado!BA50</f>
        <v>0</v>
      </c>
      <c r="K51" s="32">
        <f>+Detalhado!BE50+Detalhado!BI50</f>
        <v>0</v>
      </c>
      <c r="L51" s="44">
        <f>+Detalhado!BM50+Detalhado!BQ50</f>
        <v>0</v>
      </c>
      <c r="M51" s="44">
        <f>+Detalhado!BU50+Detalhado!BY50</f>
        <v>0</v>
      </c>
    </row>
  </sheetData>
  <mergeCells count="1">
    <mergeCell ref="B2:M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Luis</cp:lastModifiedBy>
  <dcterms:created xsi:type="dcterms:W3CDTF">2006-12-05T14:33:06Z</dcterms:created>
  <dcterms:modified xsi:type="dcterms:W3CDTF">2007-05-25T03:46:20Z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1715362131</vt:i4>
  </property>
  <property fmtid="{D5CDD505-2E9C-101B-9397-08002B2CF9AE}" pid="3" name="_EmailSubject">
    <vt:lpwstr/>
  </property>
  <property fmtid="{D5CDD505-2E9C-101B-9397-08002B2CF9AE}" pid="4" name="_AuthorEmail">
    <vt:lpwstr>luis.santos@ine.pt</vt:lpwstr>
  </property>
  <property fmtid="{D5CDD505-2E9C-101B-9397-08002B2CF9AE}" pid="5" name="_AuthorEmailDisplayName">
    <vt:lpwstr>Luis Santos</vt:lpwstr>
  </property>
  <property fmtid="{D5CDD505-2E9C-101B-9397-08002B2CF9AE}" pid="6" name="_ReviewingToolsShownOnce">
    <vt:lpwstr/>
  </property>
</Properties>
</file>